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190" yWindow="10220" windowWidth="19420" windowHeight="110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8" i="1" l="1"/>
  <c r="T107" i="1"/>
  <c r="T106" i="1"/>
  <c r="T105" i="1"/>
  <c r="S105" i="1"/>
  <c r="R108" i="1"/>
  <c r="R107" i="1"/>
  <c r="R106" i="1"/>
  <c r="R105" i="1"/>
  <c r="T91" i="1"/>
  <c r="N91" i="1"/>
  <c r="R91" i="1"/>
  <c r="R7" i="1"/>
  <c r="Q98" i="1"/>
  <c r="T94" i="1"/>
  <c r="T93" i="1"/>
  <c r="T92" i="1"/>
  <c r="R94" i="1"/>
  <c r="R93" i="1"/>
  <c r="R92" i="1"/>
  <c r="K70" i="1"/>
  <c r="Q70" i="1"/>
  <c r="I72" i="1"/>
  <c r="N84" i="1"/>
  <c r="K84" i="1"/>
  <c r="K73" i="1"/>
  <c r="K72" i="1"/>
  <c r="K71" i="1"/>
  <c r="Q84" i="1"/>
  <c r="G87" i="1"/>
  <c r="N87" i="1"/>
  <c r="N86" i="1"/>
  <c r="N85" i="1"/>
  <c r="K87" i="1"/>
  <c r="K86" i="1"/>
  <c r="K85" i="1"/>
  <c r="G85" i="1"/>
  <c r="G84" i="1"/>
  <c r="F85" i="1"/>
  <c r="F84" i="1"/>
  <c r="G80" i="1"/>
  <c r="F80" i="1"/>
  <c r="G79" i="1"/>
  <c r="F79" i="1"/>
  <c r="G78" i="1"/>
  <c r="F78" i="1"/>
  <c r="G77" i="1"/>
  <c r="F77" i="1"/>
  <c r="L73" i="1"/>
  <c r="L72" i="1"/>
  <c r="L71" i="1"/>
  <c r="L70" i="1"/>
  <c r="I65" i="1"/>
  <c r="F73" i="1"/>
  <c r="F72" i="1"/>
  <c r="F71" i="1"/>
  <c r="F70" i="1"/>
  <c r="G73" i="1"/>
  <c r="G72" i="1"/>
  <c r="G71" i="1"/>
  <c r="G70" i="1"/>
  <c r="G66" i="1"/>
  <c r="F66" i="1"/>
  <c r="G65" i="1"/>
  <c r="F65" i="1"/>
  <c r="G64" i="1"/>
  <c r="F64" i="1"/>
  <c r="G63" i="1"/>
  <c r="F63" i="1"/>
  <c r="J66" i="1"/>
  <c r="J65" i="1"/>
  <c r="J63" i="1"/>
  <c r="J64" i="1"/>
  <c r="J80" i="1"/>
  <c r="J79" i="1"/>
  <c r="J78" i="1"/>
  <c r="J77" i="1"/>
  <c r="Q63" i="1"/>
  <c r="S59" i="1"/>
  <c r="R59" i="1"/>
  <c r="T59" i="1" s="1"/>
  <c r="T58" i="1"/>
  <c r="S58" i="1"/>
  <c r="R58" i="1"/>
  <c r="S57" i="1"/>
  <c r="T57" i="1" s="1"/>
  <c r="R57" i="1"/>
  <c r="T56" i="1"/>
  <c r="S56" i="1"/>
  <c r="R56" i="1"/>
  <c r="Q49" i="1"/>
  <c r="S52" i="1"/>
  <c r="R52" i="1"/>
  <c r="S51" i="1"/>
  <c r="R51" i="1"/>
  <c r="S50" i="1"/>
  <c r="T50" i="1" s="1"/>
  <c r="R50" i="1"/>
  <c r="S49" i="1"/>
  <c r="R49" i="1"/>
  <c r="N42" i="1"/>
  <c r="F86" i="1" l="1"/>
  <c r="G86" i="1"/>
  <c r="F87" i="1"/>
  <c r="T49" i="1"/>
  <c r="T51" i="1"/>
  <c r="T52" i="1"/>
  <c r="H17" i="1"/>
  <c r="H16" i="1"/>
  <c r="H15" i="1"/>
  <c r="H14" i="1"/>
  <c r="G17" i="1"/>
  <c r="G16" i="1"/>
  <c r="G14" i="1"/>
  <c r="G15" i="1"/>
  <c r="S10" i="1"/>
  <c r="T10" i="1" s="1"/>
  <c r="S9" i="1"/>
  <c r="S8" i="1"/>
  <c r="S7" i="1"/>
  <c r="T7" i="1" s="1"/>
  <c r="R10" i="1"/>
  <c r="R9" i="1"/>
  <c r="R8" i="1"/>
  <c r="K42" i="1"/>
  <c r="S44" i="1" s="1"/>
  <c r="K35" i="1"/>
  <c r="S38" i="1" s="1"/>
  <c r="S45" i="1"/>
  <c r="R45" i="1"/>
  <c r="R44" i="1"/>
  <c r="S43" i="1"/>
  <c r="T43" i="1" s="1"/>
  <c r="R43" i="1"/>
  <c r="S42" i="1"/>
  <c r="R42" i="1"/>
  <c r="Q42" i="1"/>
  <c r="M42" i="1" s="1"/>
  <c r="M35" i="1"/>
  <c r="M21" i="1"/>
  <c r="R21" i="1" s="1"/>
  <c r="K21" i="1"/>
  <c r="S24" i="1"/>
  <c r="S23" i="1"/>
  <c r="S22" i="1"/>
  <c r="S21" i="1"/>
  <c r="T31" i="1"/>
  <c r="T30" i="1"/>
  <c r="T29" i="1"/>
  <c r="T28" i="1"/>
  <c r="S31" i="1"/>
  <c r="S30" i="1"/>
  <c r="S29" i="1"/>
  <c r="S28" i="1"/>
  <c r="R31" i="1"/>
  <c r="R30" i="1"/>
  <c r="R29" i="1"/>
  <c r="R28" i="1"/>
  <c r="T9" i="1"/>
  <c r="T8" i="1"/>
  <c r="T42" i="1" l="1"/>
  <c r="T44" i="1"/>
  <c r="T45" i="1"/>
  <c r="R35" i="1"/>
  <c r="S35" i="1"/>
  <c r="R36" i="1"/>
  <c r="S36" i="1"/>
  <c r="R37" i="1"/>
  <c r="S37" i="1"/>
  <c r="R38" i="1"/>
  <c r="T38" i="1" s="1"/>
  <c r="T23" i="1"/>
  <c r="R24" i="1"/>
  <c r="T24" i="1" s="1"/>
  <c r="R22" i="1"/>
  <c r="R23" i="1"/>
  <c r="T22" i="1"/>
  <c r="T21" i="1"/>
  <c r="T36" i="1" l="1"/>
  <c r="T37" i="1"/>
  <c r="T35" i="1"/>
  <c r="L30" i="1"/>
  <c r="L23" i="1"/>
  <c r="K28" i="1" l="1"/>
  <c r="M87" i="1" l="1"/>
  <c r="M86" i="1"/>
  <c r="M85" i="1"/>
  <c r="M84" i="1"/>
  <c r="S84" i="1" l="1"/>
  <c r="R84" i="1"/>
  <c r="Q91" i="1"/>
  <c r="Q7" i="1"/>
  <c r="Q56" i="1"/>
  <c r="R63" i="1"/>
  <c r="Q105" i="1" l="1"/>
  <c r="S87" i="1"/>
  <c r="S86" i="1"/>
  <c r="R85" i="1"/>
  <c r="Q28" i="1"/>
  <c r="Q21" i="1"/>
  <c r="S66" i="1"/>
  <c r="R65" i="1"/>
  <c r="S64" i="1"/>
  <c r="S73" i="1"/>
  <c r="S72" i="1"/>
  <c r="S71" i="1"/>
  <c r="R70" i="1"/>
  <c r="N21" i="1" l="1"/>
  <c r="N28" i="1"/>
  <c r="M28" i="1"/>
  <c r="S85" i="1"/>
  <c r="T85" i="1" s="1"/>
  <c r="R66" i="1"/>
  <c r="T66" i="1" s="1"/>
  <c r="R64" i="1"/>
  <c r="T64" i="1" s="1"/>
  <c r="T84" i="1" l="1"/>
  <c r="S65" i="1"/>
  <c r="T65" i="1" s="1"/>
  <c r="S63" i="1"/>
  <c r="T63" i="1" s="1"/>
  <c r="R71" i="1"/>
  <c r="T71" i="1" s="1"/>
  <c r="R72" i="1"/>
  <c r="T72" i="1" s="1"/>
  <c r="R73" i="1"/>
  <c r="T73" i="1" s="1"/>
  <c r="S70" i="1"/>
  <c r="T70" i="1" s="1"/>
  <c r="R86" i="1"/>
  <c r="T86" i="1" s="1"/>
  <c r="R87" i="1"/>
  <c r="T87" i="1" s="1"/>
  <c r="S80" i="1" l="1"/>
  <c r="S79" i="1"/>
  <c r="S78" i="1"/>
  <c r="Q77" i="1"/>
  <c r="S77" i="1" s="1"/>
  <c r="Q35" i="1"/>
  <c r="Q14" i="1"/>
  <c r="N35" i="1" l="1"/>
  <c r="S15" i="1"/>
  <c r="S16" i="1" l="1"/>
  <c r="S17" i="1"/>
  <c r="S14" i="1"/>
  <c r="R80" i="1"/>
  <c r="T80" i="1" s="1"/>
  <c r="R77" i="1"/>
  <c r="T77" i="1" s="1"/>
  <c r="R79" i="1"/>
  <c r="T79" i="1" s="1"/>
  <c r="R78" i="1"/>
  <c r="T78" i="1" s="1"/>
  <c r="R14" i="1"/>
  <c r="R15" i="1"/>
  <c r="T15" i="1" s="1"/>
  <c r="R17" i="1"/>
  <c r="R16" i="1"/>
  <c r="T16" i="1" l="1"/>
  <c r="T17" i="1"/>
  <c r="T14" i="1"/>
</calcChain>
</file>

<file path=xl/sharedStrings.xml><?xml version="1.0" encoding="utf-8"?>
<sst xmlns="http://schemas.openxmlformats.org/spreadsheetml/2006/main" count="327" uniqueCount="74">
  <si>
    <t>A</t>
  </si>
  <si>
    <t>B</t>
  </si>
  <si>
    <t>C</t>
  </si>
  <si>
    <t>D</t>
  </si>
  <si>
    <t>Cornea</t>
  </si>
  <si>
    <t>Aqueous</t>
  </si>
  <si>
    <t>Vitreous</t>
  </si>
  <si>
    <t>Lens</t>
  </si>
  <si>
    <t>λ</t>
  </si>
  <si>
    <t>Cornu Le Grand</t>
  </si>
  <si>
    <r>
      <t>n</t>
    </r>
    <r>
      <rPr>
        <vertAlign val="subscript"/>
        <sz val="18"/>
        <color theme="1"/>
        <rFont val="Calibri Math"/>
      </rPr>
      <t>∞</t>
    </r>
  </si>
  <si>
    <t>K</t>
  </si>
  <si>
    <r>
      <t>n</t>
    </r>
    <r>
      <rPr>
        <vertAlign val="subscript"/>
        <sz val="18"/>
        <color theme="1"/>
        <rFont val="Calibri Math"/>
      </rPr>
      <t>g</t>
    </r>
    <r>
      <rPr>
        <sz val="18"/>
        <color theme="1"/>
        <rFont val="Calibri Math"/>
      </rPr>
      <t>(λ)</t>
    </r>
  </si>
  <si>
    <r>
      <t>n</t>
    </r>
    <r>
      <rPr>
        <vertAlign val="subscript"/>
        <sz val="18"/>
        <color theme="1"/>
        <rFont val="Calibri Math"/>
      </rPr>
      <t>p</t>
    </r>
    <r>
      <rPr>
        <sz val="18"/>
        <color theme="1"/>
        <rFont val="Calibri Math"/>
      </rPr>
      <t>(λ)</t>
    </r>
  </si>
  <si>
    <r>
      <t>λ</t>
    </r>
    <r>
      <rPr>
        <vertAlign val="subscript"/>
        <sz val="18"/>
        <color theme="1"/>
        <rFont val="Calibri Math"/>
      </rPr>
      <t>0</t>
    </r>
  </si>
  <si>
    <t>Navarro</t>
  </si>
  <si>
    <r>
      <t>a</t>
    </r>
    <r>
      <rPr>
        <vertAlign val="subscript"/>
        <sz val="18"/>
        <color theme="1"/>
        <rFont val="Calibri Math"/>
      </rPr>
      <t>1</t>
    </r>
  </si>
  <si>
    <r>
      <t>a</t>
    </r>
    <r>
      <rPr>
        <vertAlign val="subscript"/>
        <sz val="18"/>
        <color theme="1"/>
        <rFont val="Calibri Math"/>
      </rPr>
      <t>2</t>
    </r>
  </si>
  <si>
    <r>
      <t>a</t>
    </r>
    <r>
      <rPr>
        <vertAlign val="subscript"/>
        <sz val="18"/>
        <color theme="1"/>
        <rFont val="Calibri Math"/>
      </rPr>
      <t>3</t>
    </r>
  </si>
  <si>
    <r>
      <t>a</t>
    </r>
    <r>
      <rPr>
        <vertAlign val="subscript"/>
        <sz val="18"/>
        <color theme="1"/>
        <rFont val="Calibri Math"/>
      </rPr>
      <t>4</t>
    </r>
  </si>
  <si>
    <r>
      <t>A</t>
    </r>
    <r>
      <rPr>
        <vertAlign val="subscript"/>
        <sz val="18"/>
        <color theme="1"/>
        <rFont val="Calibri Math"/>
      </rPr>
      <t>0</t>
    </r>
  </si>
  <si>
    <r>
      <t>A</t>
    </r>
    <r>
      <rPr>
        <vertAlign val="subscript"/>
        <sz val="18"/>
        <color theme="1"/>
        <rFont val="Calibri Math"/>
      </rPr>
      <t>1</t>
    </r>
  </si>
  <si>
    <t>P</t>
  </si>
  <si>
    <t>R</t>
  </si>
  <si>
    <r>
      <t>a</t>
    </r>
    <r>
      <rPr>
        <vertAlign val="subscript"/>
        <sz val="18"/>
        <color theme="1"/>
        <rFont val="Calibri Math"/>
      </rPr>
      <t>i</t>
    </r>
  </si>
  <si>
    <t>n**</t>
  </si>
  <si>
    <r>
      <t>n</t>
    </r>
    <r>
      <rPr>
        <vertAlign val="subscript"/>
        <sz val="18"/>
        <color theme="1"/>
        <rFont val="Calibri Math"/>
      </rPr>
      <t>F</t>
    </r>
  </si>
  <si>
    <r>
      <t>n</t>
    </r>
    <r>
      <rPr>
        <vertAlign val="subscript"/>
        <sz val="18"/>
        <color theme="1"/>
        <rFont val="Calibri Math"/>
      </rPr>
      <t>C</t>
    </r>
  </si>
  <si>
    <t>n*</t>
  </si>
  <si>
    <t>D&amp;M Le Grand (589)</t>
  </si>
  <si>
    <r>
      <t>λ</t>
    </r>
    <r>
      <rPr>
        <vertAlign val="subscript"/>
        <sz val="18"/>
        <color theme="1"/>
        <rFont val="Calibri Math"/>
      </rPr>
      <t>555</t>
    </r>
  </si>
  <si>
    <r>
      <t>n</t>
    </r>
    <r>
      <rPr>
        <vertAlign val="subscript"/>
        <sz val="18"/>
        <color theme="1"/>
        <rFont val="Calibri Math"/>
      </rPr>
      <t>555</t>
    </r>
  </si>
  <si>
    <t>Lenstar</t>
  </si>
  <si>
    <t>A&amp;S Gullstrand (589)</t>
  </si>
  <si>
    <t>D&amp;M-Gullstrand (589)</t>
  </si>
  <si>
    <t>Argos</t>
  </si>
  <si>
    <t>A&amp;S Le Grand (589)</t>
  </si>
  <si>
    <t>Liou &amp; Brennan</t>
  </si>
  <si>
    <t>Lambda</t>
  </si>
  <si>
    <t>D&amp;M Le Grand (555)</t>
  </si>
  <si>
    <t>A&amp;S Le Grand (555)</t>
  </si>
  <si>
    <t>A&amp;S Gullstrand (555)</t>
  </si>
  <si>
    <t>D&amp;M-Gullstrand (555)</t>
  </si>
  <si>
    <t>A&amp;S Cauchy (High Lens)</t>
  </si>
  <si>
    <t>A&amp;S Cauchy (Low Lens)</t>
  </si>
  <si>
    <r>
      <t>A</t>
    </r>
    <r>
      <rPr>
        <vertAlign val="subscript"/>
        <sz val="18"/>
        <color theme="1"/>
        <rFont val="Calibri Math"/>
      </rPr>
      <t>2</t>
    </r>
  </si>
  <si>
    <r>
      <t>A</t>
    </r>
    <r>
      <rPr>
        <vertAlign val="subscript"/>
        <sz val="18"/>
        <color theme="1"/>
        <rFont val="Calibri Math"/>
      </rPr>
      <t>3</t>
    </r>
  </si>
  <si>
    <r>
      <t>A</t>
    </r>
    <r>
      <rPr>
        <vertAlign val="subscript"/>
        <sz val="18"/>
        <color theme="1"/>
        <rFont val="Calibri Math"/>
      </rPr>
      <t>4</t>
    </r>
  </si>
  <si>
    <r>
      <t>∂n</t>
    </r>
    <r>
      <rPr>
        <vertAlign val="subscript"/>
        <sz val="18"/>
        <color theme="1"/>
        <rFont val="Calibri Math"/>
      </rPr>
      <t>p</t>
    </r>
    <r>
      <rPr>
        <sz val="18"/>
        <color theme="1"/>
        <rFont val="Calibri Math"/>
      </rPr>
      <t>/∂λ</t>
    </r>
  </si>
  <si>
    <t>λ̅</t>
  </si>
  <si>
    <r>
      <t>n</t>
    </r>
    <r>
      <rPr>
        <vertAlign val="subscript"/>
        <sz val="18"/>
        <color theme="1"/>
        <rFont val="Calibri Math"/>
      </rPr>
      <t>λ̅w</t>
    </r>
  </si>
  <si>
    <r>
      <t>n</t>
    </r>
    <r>
      <rPr>
        <vertAlign val="subscript"/>
        <sz val="18"/>
        <color theme="1"/>
        <rFont val="Calibri Math"/>
      </rPr>
      <t>λ̅</t>
    </r>
  </si>
  <si>
    <r>
      <t>n</t>
    </r>
    <r>
      <rPr>
        <vertAlign val="subscript"/>
        <sz val="18"/>
        <color theme="1"/>
        <rFont val="Calibri"/>
        <family val="2"/>
      </rPr>
      <t>λ</t>
    </r>
    <r>
      <rPr>
        <vertAlign val="subscript"/>
        <sz val="18"/>
        <color theme="1"/>
        <rFont val="Calibri Math"/>
      </rPr>
      <t>w</t>
    </r>
  </si>
  <si>
    <r>
      <t>∂n</t>
    </r>
    <r>
      <rPr>
        <vertAlign val="subscript"/>
        <sz val="18"/>
        <color theme="1"/>
        <rFont val="Calibri Math"/>
      </rPr>
      <t>λw</t>
    </r>
    <r>
      <rPr>
        <sz val="18"/>
        <color theme="1"/>
        <rFont val="Calibri Math"/>
      </rPr>
      <t>/∂λ</t>
    </r>
  </si>
  <si>
    <r>
      <t>n</t>
    </r>
    <r>
      <rPr>
        <vertAlign val="subscript"/>
        <sz val="18"/>
        <color theme="1"/>
        <rFont val="Calibri Math"/>
      </rPr>
      <t>λ̅G</t>
    </r>
  </si>
  <si>
    <r>
      <t>λ</t>
    </r>
    <r>
      <rPr>
        <vertAlign val="superscript"/>
        <sz val="18"/>
        <color theme="1"/>
        <rFont val="Calibri Math"/>
      </rPr>
      <t>2</t>
    </r>
    <r>
      <rPr>
        <vertAlign val="subscript"/>
        <sz val="18"/>
        <color theme="1"/>
        <rFont val="Calibri Math"/>
      </rPr>
      <t>1</t>
    </r>
  </si>
  <si>
    <r>
      <t>λ</t>
    </r>
    <r>
      <rPr>
        <vertAlign val="superscript"/>
        <sz val="18"/>
        <color theme="1"/>
        <rFont val="Calibri Math"/>
      </rPr>
      <t>2</t>
    </r>
    <r>
      <rPr>
        <vertAlign val="subscript"/>
        <sz val="18"/>
        <color theme="1"/>
        <rFont val="Calibri Math"/>
      </rPr>
      <t>2</t>
    </r>
  </si>
  <si>
    <r>
      <t>λ</t>
    </r>
    <r>
      <rPr>
        <vertAlign val="superscript"/>
        <sz val="18"/>
        <color theme="1"/>
        <rFont val="Calibri Math"/>
      </rPr>
      <t>2</t>
    </r>
    <r>
      <rPr>
        <vertAlign val="subscript"/>
        <sz val="18"/>
        <color theme="1"/>
        <rFont val="Calibri Math"/>
      </rPr>
      <t>3</t>
    </r>
  </si>
  <si>
    <r>
      <t>λ</t>
    </r>
    <r>
      <rPr>
        <vertAlign val="superscript"/>
        <sz val="18"/>
        <color theme="1"/>
        <rFont val="Calibri Math"/>
      </rPr>
      <t>2</t>
    </r>
    <r>
      <rPr>
        <vertAlign val="subscript"/>
        <sz val="18"/>
        <color theme="1"/>
        <rFont val="Calibri Math"/>
      </rPr>
      <t>4</t>
    </r>
  </si>
  <si>
    <r>
      <t>n</t>
    </r>
    <r>
      <rPr>
        <vertAlign val="subscript"/>
        <sz val="18"/>
        <color theme="1"/>
        <rFont val="Calibri Math"/>
      </rPr>
      <t>555G</t>
    </r>
  </si>
  <si>
    <r>
      <t>n</t>
    </r>
    <r>
      <rPr>
        <vertAlign val="subscript"/>
        <sz val="18"/>
        <color theme="1"/>
        <rFont val="Calibri Math"/>
      </rPr>
      <t>λ̅L</t>
    </r>
  </si>
  <si>
    <r>
      <t>n</t>
    </r>
    <r>
      <rPr>
        <vertAlign val="subscript"/>
        <sz val="18"/>
        <color theme="1"/>
        <rFont val="Calibri Math"/>
      </rPr>
      <t>555L</t>
    </r>
  </si>
  <si>
    <r>
      <t>A&amp;S Le Grand (555) is the same as A&amp;S Cauchy except that we scale the Le Grand indices, so n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(589) will yield our unscaled (Le Grand) indices</t>
    </r>
  </si>
  <si>
    <r>
      <t>A&amp;S Gullstrand (589) is the same as A&amp;S Gullstrand (555) except that we first choose n</t>
    </r>
    <r>
      <rPr>
        <vertAlign val="subscript"/>
        <sz val="11"/>
        <color theme="1"/>
        <rFont val="Calibri"/>
        <family val="2"/>
        <scheme val="minor"/>
      </rPr>
      <t>λ̅G</t>
    </r>
    <r>
      <rPr>
        <sz val="11"/>
        <color theme="1"/>
        <rFont val="Calibri"/>
        <family val="2"/>
        <scheme val="minor"/>
      </rPr>
      <t xml:space="preserve"> so that n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(589) here yield our unscaled (Gullstrand) indices</t>
    </r>
  </si>
  <si>
    <r>
      <t>A&amp;S Le Grand (589) is the same as A&amp;S Le Grand (555) except that we first choose n</t>
    </r>
    <r>
      <rPr>
        <vertAlign val="subscript"/>
        <sz val="11"/>
        <color theme="1"/>
        <rFont val="Calibri"/>
        <family val="2"/>
        <scheme val="minor"/>
      </rPr>
      <t>λ̅L</t>
    </r>
    <r>
      <rPr>
        <sz val="11"/>
        <color theme="1"/>
        <rFont val="Calibri"/>
        <family val="2"/>
        <scheme val="minor"/>
      </rPr>
      <t xml:space="preserve"> so that n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(589) here yield our unscaled (Le Grand) indices</t>
    </r>
  </si>
  <si>
    <r>
      <t>(reverse solved so n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(589) return our starting indices</t>
    </r>
  </si>
  <si>
    <t>Argos indices are constant, and do not depend on λ</t>
  </si>
  <si>
    <r>
      <t>∂a</t>
    </r>
    <r>
      <rPr>
        <vertAlign val="subscript"/>
        <sz val="18"/>
        <color theme="1"/>
        <rFont val="Calibri Math"/>
      </rPr>
      <t>i</t>
    </r>
    <r>
      <rPr>
        <sz val="18"/>
        <color theme="1"/>
        <rFont val="Calibri Math"/>
      </rPr>
      <t>/∂λ</t>
    </r>
  </si>
  <si>
    <r>
      <t>A&amp;S Gullstrand (555) is the same as A&amp;S Cauchy except the lens is scaled from a starting (Gullstrand) index of 1.3994 for the lens. n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(555) will yield our unscaled (Gullstrand) indices</t>
    </r>
  </si>
  <si>
    <r>
      <t>n</t>
    </r>
    <r>
      <rPr>
        <vertAlign val="subscript"/>
        <sz val="18"/>
        <color theme="1"/>
        <rFont val="Calibri Math"/>
      </rPr>
      <t>λG</t>
    </r>
  </si>
  <si>
    <r>
      <t>∂n</t>
    </r>
    <r>
      <rPr>
        <vertAlign val="subscript"/>
        <sz val="18"/>
        <color theme="1"/>
        <rFont val="Calibri Math"/>
      </rPr>
      <t>λG</t>
    </r>
    <r>
      <rPr>
        <sz val="18"/>
        <color theme="1"/>
        <rFont val="Calibri Math"/>
      </rPr>
      <t>/∂λ</t>
    </r>
  </si>
  <si>
    <t>Phase refractive indices are listed in column R. Group refractive indices are listed in column T.</t>
  </si>
  <si>
    <r>
      <t>Enter measuring wavelength (</t>
    </r>
    <r>
      <rPr>
        <sz val="11"/>
        <color rgb="FFFF0000"/>
        <rFont val="Calibri"/>
        <family val="2"/>
      </rPr>
      <t xml:space="preserve">λ) in cell A2. </t>
    </r>
  </si>
  <si>
    <t>Version 1 by Timothy L. Cooke with David A. Atchison, David L. Cooke, and Marwan Suheimat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</si>
</sst>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0E+00"/>
    <numFmt numFmtId="165" formatCode="0.000000"/>
    <numFmt numFmtId="166" formatCode="0.0000"/>
    <numFmt numFmtId="167" formatCode="0.00000E+00"/>
    <numFmt numFmtId="168" formatCode="0.000000000E+00"/>
    <numFmt numFmtId="169" formatCode="0.000"/>
    <numFmt numFmtId="170" formatCode="0.0000#"/>
    <numFmt numFmtId="171" formatCode="0.00000000"/>
    <numFmt numFmtId="172" formatCode="0.0000000"/>
    <numFmt numFmtId="173" formatCode="[$-409]mmmm\ d\,\ 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Math"/>
    </font>
    <font>
      <vertAlign val="subscript"/>
      <sz val="18"/>
      <color theme="1"/>
      <name val="Calibri Math"/>
    </font>
    <font>
      <vertAlign val="subscript"/>
      <sz val="11"/>
      <color theme="1"/>
      <name val="Calibri"/>
      <family val="2"/>
      <scheme val="minor"/>
    </font>
    <font>
      <vertAlign val="superscript"/>
      <sz val="18"/>
      <color theme="1"/>
      <name val="Calibri Math"/>
    </font>
    <font>
      <vertAlign val="subscript"/>
      <sz val="18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0" fontId="1" fillId="0" borderId="0" xfId="0" applyFont="1"/>
    <xf numFmtId="0" fontId="1" fillId="2" borderId="0" xfId="0" applyFont="1" applyFill="1"/>
    <xf numFmtId="170" fontId="0" fillId="0" borderId="0" xfId="0" applyNumberFormat="1"/>
    <xf numFmtId="171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5" fontId="0" fillId="0" borderId="0" xfId="0" applyNumberFormat="1" applyFill="1"/>
    <xf numFmtId="164" fontId="0" fillId="0" borderId="0" xfId="0" applyNumberFormat="1" applyFill="1"/>
    <xf numFmtId="172" fontId="0" fillId="0" borderId="0" xfId="0" applyNumberFormat="1" applyFill="1"/>
    <xf numFmtId="169" fontId="0" fillId="0" borderId="0" xfId="0" applyNumberFormat="1" applyFill="1"/>
    <xf numFmtId="0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173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abSelected="1" zoomScale="125" zoomScaleNormal="12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4.5"/>
  <cols>
    <col min="1" max="1" width="22.26953125" bestFit="1" customWidth="1"/>
    <col min="2" max="2" width="17" bestFit="1" customWidth="1"/>
    <col min="3" max="3" width="16.1796875" bestFit="1" customWidth="1"/>
    <col min="4" max="5" width="16.54296875" bestFit="1" customWidth="1"/>
    <col min="6" max="6" width="22.453125" bestFit="1" customWidth="1"/>
    <col min="7" max="7" width="17" bestFit="1" customWidth="1"/>
    <col min="8" max="8" width="17.453125" customWidth="1"/>
    <col min="9" max="9" width="20.1796875" bestFit="1" customWidth="1"/>
    <col min="10" max="10" width="15.7265625" bestFit="1" customWidth="1"/>
    <col min="11" max="14" width="15.453125" bestFit="1" customWidth="1"/>
    <col min="15" max="15" width="12" bestFit="1" customWidth="1"/>
    <col min="17" max="17" width="13.1796875" bestFit="1" customWidth="1"/>
    <col min="18" max="18" width="15.7265625" bestFit="1" customWidth="1"/>
    <col min="19" max="19" width="16.7265625" bestFit="1" customWidth="1"/>
    <col min="22" max="22" width="10.26953125" bestFit="1" customWidth="1"/>
  </cols>
  <sheetData>
    <row r="1" spans="1:22">
      <c r="A1" s="5" t="s">
        <v>38</v>
      </c>
      <c r="B1" t="s">
        <v>73</v>
      </c>
    </row>
    <row r="2" spans="1:22">
      <c r="A2" s="19">
        <v>820</v>
      </c>
      <c r="B2" s="18">
        <v>43809</v>
      </c>
      <c r="R2" s="8"/>
      <c r="S2" s="8"/>
      <c r="T2" s="8"/>
      <c r="U2" s="8"/>
      <c r="V2" s="8"/>
    </row>
    <row r="3" spans="1:22">
      <c r="A3" s="9"/>
      <c r="B3" s="20" t="s">
        <v>72</v>
      </c>
      <c r="R3" s="8"/>
      <c r="T3" s="8"/>
      <c r="U3" s="8"/>
      <c r="V3" s="8"/>
    </row>
    <row r="4" spans="1:22">
      <c r="B4" s="20" t="s">
        <v>71</v>
      </c>
      <c r="R4" s="8"/>
      <c r="S4" s="8"/>
      <c r="T4" s="8"/>
      <c r="U4" s="8"/>
      <c r="V4" s="8"/>
    </row>
    <row r="5" spans="1:22">
      <c r="R5" s="8"/>
      <c r="S5" s="8"/>
      <c r="T5" s="8"/>
      <c r="U5" s="8"/>
      <c r="V5" s="8"/>
    </row>
    <row r="6" spans="1:22" ht="27.5">
      <c r="A6" s="5" t="s">
        <v>9</v>
      </c>
      <c r="B6" s="1" t="s">
        <v>10</v>
      </c>
      <c r="C6" s="1" t="s">
        <v>11</v>
      </c>
      <c r="D6" s="1" t="s">
        <v>14</v>
      </c>
      <c r="E6" s="1"/>
      <c r="F6" s="1"/>
      <c r="G6" s="1"/>
      <c r="H6" s="1"/>
      <c r="I6" s="1"/>
      <c r="J6" s="1"/>
      <c r="K6" s="1"/>
      <c r="L6" s="1"/>
      <c r="M6" s="1"/>
      <c r="N6" s="1"/>
      <c r="Q6" s="1" t="s">
        <v>8</v>
      </c>
      <c r="R6" s="10" t="s">
        <v>13</v>
      </c>
      <c r="S6" s="10" t="s">
        <v>48</v>
      </c>
      <c r="T6" s="10" t="s">
        <v>12</v>
      </c>
      <c r="U6" s="8"/>
      <c r="V6" s="8"/>
    </row>
    <row r="7" spans="1:22">
      <c r="A7" s="4" t="s">
        <v>4</v>
      </c>
      <c r="B7" s="2">
        <v>1.361</v>
      </c>
      <c r="C7" s="2">
        <v>7.4146999999999998</v>
      </c>
      <c r="D7">
        <v>130</v>
      </c>
      <c r="P7" s="4" t="s">
        <v>4</v>
      </c>
      <c r="Q7">
        <f t="shared" ref="Q7" si="0">$A$2</f>
        <v>820</v>
      </c>
      <c r="R7" s="11">
        <f>B7 + C7/(Q$7 - D$7)</f>
        <v>1.3717459420289855</v>
      </c>
      <c r="S7" s="12">
        <f>-C7/(Q$7 - D$7)^2</f>
        <v>-1.5573829027515228E-5</v>
      </c>
      <c r="T7" s="11">
        <f>R7-Q$7*S7</f>
        <v>1.3845164818315481</v>
      </c>
      <c r="U7" s="8"/>
      <c r="V7" s="8"/>
    </row>
    <row r="8" spans="1:22">
      <c r="A8" s="4" t="s">
        <v>5</v>
      </c>
      <c r="B8" s="2">
        <v>1.3221000000000001</v>
      </c>
      <c r="C8" s="2">
        <v>7.0095999999999998</v>
      </c>
      <c r="P8" s="4" t="s">
        <v>5</v>
      </c>
      <c r="R8" s="11">
        <f t="shared" ref="R8:R10" si="1">B8 + C8/(Q$7 - D$7)</f>
        <v>1.3322588405797102</v>
      </c>
      <c r="S8" s="12">
        <f t="shared" ref="S8:S10" si="2">-C8/(Q$7 - D$7)^2</f>
        <v>-1.4722957361898761E-5</v>
      </c>
      <c r="T8" s="11">
        <f t="shared" ref="T8:T10" si="3">R8-Q$7*S8</f>
        <v>1.3443316656164672</v>
      </c>
      <c r="U8" s="8"/>
      <c r="V8" s="8"/>
    </row>
    <row r="9" spans="1:22">
      <c r="A9" s="4" t="s">
        <v>7</v>
      </c>
      <c r="B9" s="2">
        <v>1.3998999999999999</v>
      </c>
      <c r="C9" s="2">
        <v>9.2492000000000001</v>
      </c>
      <c r="P9" s="4" t="s">
        <v>7</v>
      </c>
      <c r="R9" s="11">
        <f t="shared" si="1"/>
        <v>1.4133046376811593</v>
      </c>
      <c r="S9" s="12">
        <f t="shared" si="2"/>
        <v>-1.9427011132115102E-5</v>
      </c>
      <c r="T9" s="11">
        <f t="shared" si="3"/>
        <v>1.4292347868094937</v>
      </c>
      <c r="U9" s="8"/>
      <c r="V9" s="8"/>
    </row>
    <row r="10" spans="1:22" ht="15" customHeight="1">
      <c r="A10" s="4" t="s">
        <v>6</v>
      </c>
      <c r="B10" s="2">
        <v>1.3208</v>
      </c>
      <c r="C10" s="2">
        <v>6.9805999999999999</v>
      </c>
      <c r="P10" s="4" t="s">
        <v>6</v>
      </c>
      <c r="R10" s="11">
        <f t="shared" si="1"/>
        <v>1.3309168115942029</v>
      </c>
      <c r="S10" s="12">
        <f t="shared" si="2"/>
        <v>-1.4662045788699853E-5</v>
      </c>
      <c r="T10" s="11">
        <f t="shared" si="3"/>
        <v>1.3429396891409369</v>
      </c>
      <c r="U10" s="8"/>
      <c r="V10" s="8"/>
    </row>
    <row r="11" spans="1:22">
      <c r="A11" s="4"/>
      <c r="B11" s="2"/>
      <c r="C11" s="2"/>
      <c r="P11" s="4"/>
      <c r="R11" s="11"/>
      <c r="S11" s="12"/>
      <c r="T11" s="11"/>
      <c r="U11" s="8"/>
      <c r="V11" s="8"/>
    </row>
    <row r="12" spans="1:22">
      <c r="R12" s="8"/>
      <c r="S12" s="8"/>
      <c r="T12" s="8"/>
      <c r="U12" s="8"/>
      <c r="V12" s="8"/>
    </row>
    <row r="13" spans="1:22" ht="27.5">
      <c r="A13" s="5" t="s">
        <v>15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14</v>
      </c>
      <c r="G13" s="1" t="s">
        <v>24</v>
      </c>
      <c r="H13" s="1" t="s">
        <v>67</v>
      </c>
      <c r="J13" s="1"/>
      <c r="K13" s="1" t="s">
        <v>25</v>
      </c>
      <c r="L13" s="1" t="s">
        <v>26</v>
      </c>
      <c r="M13" s="1" t="s">
        <v>27</v>
      </c>
      <c r="N13" s="1" t="s">
        <v>28</v>
      </c>
      <c r="Q13" s="1" t="s">
        <v>8</v>
      </c>
      <c r="R13" s="10" t="s">
        <v>13</v>
      </c>
      <c r="S13" s="10" t="s">
        <v>48</v>
      </c>
      <c r="T13" s="10" t="s">
        <v>12</v>
      </c>
      <c r="U13" s="8"/>
      <c r="V13" s="8"/>
    </row>
    <row r="14" spans="1:22" ht="27.5">
      <c r="A14" s="1" t="s">
        <v>16</v>
      </c>
      <c r="B14" s="7">
        <v>0.66147195999999997</v>
      </c>
      <c r="C14" s="7">
        <v>-0.40352796000000002</v>
      </c>
      <c r="D14" s="7">
        <v>-0.28046789999999999</v>
      </c>
      <c r="E14" s="7">
        <v>3.3859790000000001E-2</v>
      </c>
      <c r="F14">
        <v>167.3</v>
      </c>
      <c r="G14">
        <f>B14 + C14*Q$14^2/10^6 + D14*10^6/(Q$14^2 - F$14^2) + E14*10^12/(Q$14^2 - F$14^2)^2</f>
        <v>3.6445923563491175E-2</v>
      </c>
      <c r="H14" s="3">
        <f>2*C14*Q$14/10^6 - 2*D14*Q$14*10^6/(Q$14^2 - F$14^2)^2 - 4*E14*Q$14*10^12/(Q$14^2 - F$14^2)^3</f>
        <v>3.0840699924674611E-5</v>
      </c>
      <c r="J14" s="4" t="s">
        <v>4</v>
      </c>
      <c r="K14" s="6">
        <v>1.3975</v>
      </c>
      <c r="L14" s="6">
        <v>1.3807</v>
      </c>
      <c r="M14" s="6">
        <v>1.37405</v>
      </c>
      <c r="N14" s="6">
        <v>1.3668</v>
      </c>
      <c r="P14" s="4" t="s">
        <v>4</v>
      </c>
      <c r="Q14">
        <f>$A$2</f>
        <v>820</v>
      </c>
      <c r="R14" s="11">
        <f>G$14*$K14+G$15*$L14+G$16*$M14+G$17*$N14</f>
        <v>1.3705297275533941</v>
      </c>
      <c r="S14" s="12">
        <f>H$14*$K14+H$15*$L14+H$16*$M14+H$17*$N14</f>
        <v>-1.9454307877401003E-5</v>
      </c>
      <c r="T14" s="11">
        <f>R14-Q$14*S14</f>
        <v>1.386482260012863</v>
      </c>
      <c r="U14" s="8"/>
      <c r="V14" s="8"/>
    </row>
    <row r="15" spans="1:22" ht="27.5">
      <c r="A15" s="1" t="s">
        <v>17</v>
      </c>
      <c r="B15" s="7">
        <v>-4.2014638299999998</v>
      </c>
      <c r="C15" s="7">
        <v>2.73508956</v>
      </c>
      <c r="D15" s="7">
        <v>1.5054378399999999</v>
      </c>
      <c r="E15" s="7">
        <v>-0.11593235</v>
      </c>
      <c r="G15">
        <f>B15 + C15*Q$14^2/10^6 + D15*10^6/(Q$14^2 - F$14^2) + E15*10^12/(Q$14^2 - F$14^2)^2</f>
        <v>-0.30541976719046215</v>
      </c>
      <c r="H15" s="3">
        <f t="shared" ref="H15:H17" si="4">2*C15*Q$14/10^6 - 2*D15*Q$14*10^6/(Q$14^2 - F$14^2)^2 - 4*E15*Q$14*10^12/(Q$14^2 - F$14^2)^3</f>
        <v>-3.886703936202226E-5</v>
      </c>
      <c r="J15" s="4" t="s">
        <v>5</v>
      </c>
      <c r="K15" s="6">
        <v>1.3593</v>
      </c>
      <c r="L15" s="6">
        <v>1.3422000000000001</v>
      </c>
      <c r="M15" s="6">
        <v>1.3353999999999999</v>
      </c>
      <c r="N15" s="6">
        <v>1.3278000000000001</v>
      </c>
      <c r="P15" s="4" t="s">
        <v>5</v>
      </c>
      <c r="R15" s="11">
        <f t="shared" ref="R15:S17" si="5">G$14*$K15+G$15*$L15+G$16*$M15+G$17*$N15</f>
        <v>1.331737156451946</v>
      </c>
      <c r="S15" s="12">
        <f t="shared" si="5"/>
        <v>-2.0407897808205015E-5</v>
      </c>
      <c r="T15" s="11">
        <f t="shared" ref="T15:T17" si="6">R15-Q$14*S15</f>
        <v>1.3484716326546742</v>
      </c>
      <c r="U15" s="8"/>
      <c r="V15" s="8"/>
    </row>
    <row r="16" spans="1:22" ht="27.5">
      <c r="A16" s="1" t="s">
        <v>18</v>
      </c>
      <c r="B16" s="7">
        <v>6.2983423700000003</v>
      </c>
      <c r="C16" s="7">
        <v>-4.6940993500000001</v>
      </c>
      <c r="D16" s="7">
        <v>-1.5750865000000001</v>
      </c>
      <c r="E16" s="7">
        <v>0.10293038</v>
      </c>
      <c r="G16">
        <f>B16 + C16*Q$14^2/10^6 + D16*10^6/(Q$14^2 - F$14^2) + E16*10^12/(Q$14^2 - F$14^2)^2</f>
        <v>0.94566891709863399</v>
      </c>
      <c r="H16" s="3">
        <f t="shared" si="4"/>
        <v>-2.7394810253827551E-3</v>
      </c>
      <c r="J16" s="4" t="s">
        <v>7</v>
      </c>
      <c r="K16" s="6">
        <v>1.4492</v>
      </c>
      <c r="L16" s="6">
        <v>1.42625</v>
      </c>
      <c r="M16" s="6">
        <v>1.4175</v>
      </c>
      <c r="N16" s="6">
        <v>1.4097</v>
      </c>
      <c r="P16" s="4" t="s">
        <v>7</v>
      </c>
      <c r="R16" s="11">
        <f t="shared" si="5"/>
        <v>1.4134612094875592</v>
      </c>
      <c r="S16" s="12">
        <f t="shared" si="5"/>
        <v>-2.0792610262936485E-5</v>
      </c>
      <c r="T16" s="11">
        <f t="shared" si="6"/>
        <v>1.4305111499031671</v>
      </c>
      <c r="U16" s="8"/>
      <c r="V16" s="8"/>
    </row>
    <row r="17" spans="1:22" ht="27.5">
      <c r="A17" s="1" t="s">
        <v>19</v>
      </c>
      <c r="B17" s="7">
        <v>-1.75835059</v>
      </c>
      <c r="C17" s="7">
        <v>2.3625379400000002</v>
      </c>
      <c r="D17" s="7">
        <v>0.35011657000000002</v>
      </c>
      <c r="E17" s="7">
        <v>-2.0857819999999999E-2</v>
      </c>
      <c r="G17">
        <f>B17 + C17*Q$14^2/10^6 + D17*10^6/(Q$14^2 - F$14^2) + E17*10^12/(Q$14^2 - F$14^2)^2</f>
        <v>0.32330497980239115</v>
      </c>
      <c r="H17" s="3">
        <f t="shared" si="4"/>
        <v>2.7475076369272646E-3</v>
      </c>
      <c r="J17" s="4" t="s">
        <v>6</v>
      </c>
      <c r="K17" s="6">
        <v>1.3565</v>
      </c>
      <c r="L17" s="6">
        <v>1.3407</v>
      </c>
      <c r="M17" s="6">
        <v>1.3341000000000001</v>
      </c>
      <c r="N17" s="6">
        <v>1.3272999999999999</v>
      </c>
      <c r="P17" s="4" t="s">
        <v>6</v>
      </c>
      <c r="R17" s="11">
        <f t="shared" si="5"/>
        <v>1.3307022154346246</v>
      </c>
      <c r="S17" s="12">
        <f t="shared" si="5"/>
        <v>-1.8248379694418056E-5</v>
      </c>
      <c r="T17" s="11">
        <f t="shared" si="6"/>
        <v>1.3456658867840474</v>
      </c>
      <c r="U17" s="8"/>
      <c r="V17" s="8"/>
    </row>
    <row r="18" spans="1:22" ht="15" customHeight="1">
      <c r="A18" s="1"/>
      <c r="B18" s="7"/>
      <c r="C18" s="7"/>
      <c r="D18" s="7"/>
      <c r="E18" s="7"/>
      <c r="H18" s="3"/>
      <c r="J18" s="4"/>
      <c r="K18" s="6"/>
      <c r="L18" s="6"/>
      <c r="M18" s="6"/>
      <c r="N18" s="6"/>
      <c r="P18" s="4"/>
      <c r="R18" s="11"/>
      <c r="S18" s="12"/>
      <c r="T18" s="11"/>
      <c r="U18" s="8"/>
      <c r="V18" s="8"/>
    </row>
    <row r="19" spans="1:22" ht="15" customHeight="1">
      <c r="A19" s="1"/>
      <c r="B19" s="7"/>
      <c r="C19" s="7"/>
      <c r="D19" s="7"/>
      <c r="E19" s="7"/>
      <c r="H19" s="3"/>
      <c r="J19" s="4"/>
      <c r="K19" s="6"/>
      <c r="L19" s="6"/>
      <c r="M19" s="6"/>
      <c r="N19" s="6"/>
      <c r="P19" s="4"/>
      <c r="R19" s="11"/>
      <c r="S19" s="12"/>
      <c r="T19" s="11"/>
      <c r="U19" s="8"/>
      <c r="V19" s="8"/>
    </row>
    <row r="20" spans="1:22" ht="28">
      <c r="A20" s="5" t="s">
        <v>42</v>
      </c>
      <c r="B20" s="10" t="s">
        <v>21</v>
      </c>
      <c r="C20" s="10" t="s">
        <v>45</v>
      </c>
      <c r="D20" s="10" t="s">
        <v>46</v>
      </c>
      <c r="E20" s="10" t="s">
        <v>47</v>
      </c>
      <c r="F20" s="10" t="s">
        <v>55</v>
      </c>
      <c r="G20" s="10" t="s">
        <v>56</v>
      </c>
      <c r="H20" s="10" t="s">
        <v>57</v>
      </c>
      <c r="I20" s="10" t="s">
        <v>58</v>
      </c>
      <c r="J20" s="10" t="s">
        <v>49</v>
      </c>
      <c r="K20" s="10" t="s">
        <v>50</v>
      </c>
      <c r="L20" s="10" t="s">
        <v>51</v>
      </c>
      <c r="M20" s="10" t="s">
        <v>52</v>
      </c>
      <c r="N20" s="10" t="s">
        <v>53</v>
      </c>
      <c r="O20" s="8"/>
      <c r="P20" s="8"/>
      <c r="Q20" s="10" t="s">
        <v>8</v>
      </c>
      <c r="R20" s="10" t="s">
        <v>13</v>
      </c>
      <c r="S20" s="10" t="s">
        <v>48</v>
      </c>
      <c r="T20" s="10" t="s">
        <v>12</v>
      </c>
      <c r="U20" s="8"/>
      <c r="V20" s="8"/>
    </row>
    <row r="21" spans="1:22">
      <c r="A21" s="4" t="s">
        <v>4</v>
      </c>
      <c r="B21" s="16">
        <v>0.56840275650000005</v>
      </c>
      <c r="C21" s="16">
        <v>0.1726177391</v>
      </c>
      <c r="D21" s="16">
        <v>2.086189578E-2</v>
      </c>
      <c r="E21" s="16">
        <v>0.11307486880000001</v>
      </c>
      <c r="F21" s="16">
        <v>5.1018297120000002E-3</v>
      </c>
      <c r="G21" s="16">
        <v>1.8211539360000001E-2</v>
      </c>
      <c r="H21" s="16">
        <v>2.6207222929999999E-2</v>
      </c>
      <c r="I21" s="16">
        <v>10.69792721</v>
      </c>
      <c r="J21" s="15">
        <v>555</v>
      </c>
      <c r="K21" s="8">
        <f t="shared" ref="K21" si="7">SQRT(1 + B21*J21^2/(J21^2 - 10^6*F21) + C21*J21^2/(J21^2 - 10^6*G21) + D21*J21^2/(J21^2 - 10^6*H21) + E21*J21^2/(J21^2 - 10^6*I21))</f>
        <v>1.334500004403691</v>
      </c>
      <c r="L21">
        <v>1.3759999999999999</v>
      </c>
      <c r="M21" s="15">
        <f t="shared" ref="M21" si="8">SQRT(1 + B21*Q21^2/(Q21^2 - 10^6*F21) + C21*Q21^2/(Q21^2 - 10^6*G21) + D21*Q21^2/(Q21^2 - 10^6*H21) + E21*Q21^2/(Q21^2 - 10^6*I21))</f>
        <v>1.3282679698571815</v>
      </c>
      <c r="N21" s="15">
        <f>(B21*Q21^3/(Q21^2 - 10^6*F21)^2 - B21*Q21/(Q21^2 - 10^6*F21) + C21*Q21^3/(Q21^2 - 10^6*G21)^2 - C21*Q21/(Q21^2 - 10^6*G21) + D21*Q21^3/(Q21^2 - 10^6*H21)^2 - D21*Q21/(Q21^2 - 10^6*H21) + E21*Q21^3/(Q21^2 - 10^6*I21)^2 - E21*Q21/(Q21^2 - 10^6*I21))/SQRT(1+B21*Q21^2/(Q21^2 - 10^6*F21) + C21*Q21^2/(Q21^2 - 10^6*G21) + D21*Q21^2/(Q21^2 - 10^6*H21) + E21*Q21^2/(Q21^2 - 10^6*I21))</f>
        <v>1.6793323566570967E-5</v>
      </c>
      <c r="O21" s="8"/>
      <c r="P21" s="9" t="s">
        <v>4</v>
      </c>
      <c r="Q21" s="8">
        <f>$A$2</f>
        <v>820</v>
      </c>
      <c r="R21" s="8">
        <f>M$21*L21/K$21</f>
        <v>1.3695741629766205</v>
      </c>
      <c r="S21" s="12">
        <f>-L21/K$21*N$21</f>
        <v>-1.7315558749606055E-5</v>
      </c>
      <c r="T21" s="11">
        <f>R21-Q$21*S21</f>
        <v>1.3837729211512975</v>
      </c>
      <c r="U21" s="8"/>
      <c r="V21" s="11"/>
    </row>
    <row r="22" spans="1:22">
      <c r="A22" s="4" t="s">
        <v>5</v>
      </c>
      <c r="B22" s="16"/>
      <c r="C22" s="16"/>
      <c r="D22" s="16"/>
      <c r="E22" s="16"/>
      <c r="F22" s="16"/>
      <c r="G22" s="16"/>
      <c r="H22" s="16"/>
      <c r="I22" s="16"/>
      <c r="J22" s="15"/>
      <c r="K22" s="8"/>
      <c r="L22">
        <v>1.3360000000000001</v>
      </c>
      <c r="M22" s="15"/>
      <c r="N22" s="15"/>
      <c r="O22" s="8"/>
      <c r="P22" s="9" t="s">
        <v>5</v>
      </c>
      <c r="Q22" s="8"/>
      <c r="R22" s="8">
        <f t="shared" ref="R22:R24" si="9">M$21*L22/K$21</f>
        <v>1.3297609605645098</v>
      </c>
      <c r="S22" s="12">
        <f t="shared" ref="S22:S24" si="10">-L22/K$21*N$21</f>
        <v>-1.6812199483629137E-5</v>
      </c>
      <c r="T22" s="11">
        <f t="shared" ref="T22:T24" si="11">R22-Q$21*S22</f>
        <v>1.3435469641410858</v>
      </c>
      <c r="U22" s="8"/>
      <c r="V22" s="8"/>
    </row>
    <row r="23" spans="1:22">
      <c r="A23" s="4" t="s">
        <v>7</v>
      </c>
      <c r="B23" s="16"/>
      <c r="C23" s="16"/>
      <c r="D23" s="16"/>
      <c r="E23" s="16"/>
      <c r="F23" s="16"/>
      <c r="G23" s="16"/>
      <c r="H23" s="16"/>
      <c r="I23" s="16"/>
      <c r="J23" s="15"/>
      <c r="K23" s="8"/>
      <c r="L23">
        <f>ROUND((1.386*(0.546 + 0.635) + 1.406*(2.419))/(0.546 + 2.419 + 0.635),4)</f>
        <v>1.3994</v>
      </c>
      <c r="M23" s="15"/>
      <c r="N23" s="15"/>
      <c r="O23" s="8"/>
      <c r="P23" s="9" t="s">
        <v>7</v>
      </c>
      <c r="Q23" s="8"/>
      <c r="R23" s="8">
        <f t="shared" si="9"/>
        <v>1.3928648863877058</v>
      </c>
      <c r="S23" s="12">
        <f t="shared" si="10"/>
        <v>-1.7610023920202552E-5</v>
      </c>
      <c r="T23" s="11">
        <f t="shared" si="11"/>
        <v>1.4073051060022719</v>
      </c>
      <c r="U23" s="8"/>
      <c r="V23" s="8"/>
    </row>
    <row r="24" spans="1:22">
      <c r="A24" s="4" t="s">
        <v>6</v>
      </c>
      <c r="B24" s="16"/>
      <c r="C24" s="16"/>
      <c r="D24" s="16"/>
      <c r="E24" s="16"/>
      <c r="F24" s="16"/>
      <c r="G24" s="16"/>
      <c r="H24" s="16"/>
      <c r="I24" s="16"/>
      <c r="J24" s="15"/>
      <c r="K24" s="8"/>
      <c r="L24">
        <v>1.3360000000000001</v>
      </c>
      <c r="M24" s="15"/>
      <c r="N24" s="15"/>
      <c r="O24" s="8"/>
      <c r="P24" s="9" t="s">
        <v>6</v>
      </c>
      <c r="Q24" s="8"/>
      <c r="R24" s="8">
        <f t="shared" si="9"/>
        <v>1.3297609605645098</v>
      </c>
      <c r="S24" s="12">
        <f t="shared" si="10"/>
        <v>-1.6812199483629137E-5</v>
      </c>
      <c r="T24" s="11">
        <f t="shared" si="11"/>
        <v>1.3435469641410858</v>
      </c>
      <c r="U24" s="8"/>
      <c r="V24" s="8"/>
    </row>
    <row r="25" spans="1:2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8">
      <c r="A27" s="5" t="s">
        <v>34</v>
      </c>
      <c r="B27" s="10" t="s">
        <v>21</v>
      </c>
      <c r="C27" s="10" t="s">
        <v>45</v>
      </c>
      <c r="D27" s="10" t="s">
        <v>46</v>
      </c>
      <c r="E27" s="10" t="s">
        <v>47</v>
      </c>
      <c r="F27" s="10" t="s">
        <v>55</v>
      </c>
      <c r="G27" s="10" t="s">
        <v>56</v>
      </c>
      <c r="H27" s="10" t="s">
        <v>57</v>
      </c>
      <c r="I27" s="10" t="s">
        <v>58</v>
      </c>
      <c r="J27" s="10" t="s">
        <v>49</v>
      </c>
      <c r="K27" s="10" t="s">
        <v>50</v>
      </c>
      <c r="L27" s="10" t="s">
        <v>51</v>
      </c>
      <c r="M27" s="10" t="s">
        <v>52</v>
      </c>
      <c r="N27" s="10" t="s">
        <v>53</v>
      </c>
      <c r="O27" s="8"/>
      <c r="P27" s="8"/>
      <c r="Q27" s="10" t="s">
        <v>8</v>
      </c>
      <c r="R27" s="10" t="s">
        <v>13</v>
      </c>
      <c r="S27" s="10" t="s">
        <v>48</v>
      </c>
      <c r="T27" s="10" t="s">
        <v>12</v>
      </c>
      <c r="U27" s="8"/>
      <c r="V27" s="8"/>
    </row>
    <row r="28" spans="1:22">
      <c r="A28" s="4" t="s">
        <v>4</v>
      </c>
      <c r="B28" s="16">
        <v>0.56840275650000005</v>
      </c>
      <c r="C28" s="16">
        <v>0.1726177391</v>
      </c>
      <c r="D28" s="16">
        <v>2.086189578E-2</v>
      </c>
      <c r="E28" s="16">
        <v>0.11307486880000001</v>
      </c>
      <c r="F28" s="16">
        <v>5.1018297120000002E-3</v>
      </c>
      <c r="G28" s="16">
        <v>1.8211539360000001E-2</v>
      </c>
      <c r="H28" s="16">
        <v>2.6207222929999999E-2</v>
      </c>
      <c r="I28" s="16">
        <v>10.69792721</v>
      </c>
      <c r="J28" s="15">
        <v>589</v>
      </c>
      <c r="K28" s="8">
        <f t="shared" ref="K28" si="12">SQRT(1 + B28*J28^2/(J28^2 - 10^6*F28) + C28*J28^2/(J28^2 - 10^6*G28) + D28*J28^2/(J28^2 - 10^6*H28) + E28*J28^2/(J28^2 - 10^6*I28))</f>
        <v>1.3333583993071043</v>
      </c>
      <c r="L28">
        <v>1.3759999999999999</v>
      </c>
      <c r="M28" s="15">
        <f t="shared" ref="M28" si="13">SQRT(1 + B28*Q28^2/(Q28^2 - 10^6*F28) + C28*Q28^2/(Q28^2 - 10^6*G28) + D28*Q28^2/(Q28^2 - 10^6*H28) + E28*Q28^2/(Q28^2 - 10^6*I28))</f>
        <v>1.3282679698571815</v>
      </c>
      <c r="N28" s="15">
        <f t="shared" ref="N28" si="14">(B28*Q28^3/(Q28^2 - 10^6*F28)^2 - B28*Q28/(Q28^2 - 10^6*F28) + C28*Q28^3/(Q28^2 - 10^6*G28)^2 - C28*Q28/(Q28^2 - 10^6*G28) + D28*Q28^3/(Q28^2 - 10^6*H28)^2 - D28*Q28/(Q28^2 - 10^6*H28) + E28*Q28^3/(Q28^2 - 10^6*I28)^2 - E28*Q28/(Q28^2 - 10^6*I28))/SQRT(1+B28*Q28^2/(Q28^2 - 10^6*F28) + C28*Q28^2/(Q28^2 - 10^6*G28) + D28*Q28^2/(Q28^2 - 10^6*H28) + E28*Q28^2/(Q28^2 - 10^6*I28))</f>
        <v>1.6793323566570967E-5</v>
      </c>
      <c r="O28" s="8"/>
      <c r="P28" s="9" t="s">
        <v>4</v>
      </c>
      <c r="Q28" s="8">
        <f>$A$2</f>
        <v>820</v>
      </c>
      <c r="R28" s="8">
        <f>M$28*L28/K$28</f>
        <v>1.3707467755655689</v>
      </c>
      <c r="S28" s="12">
        <f>-L28/K$28*N$28</f>
        <v>-1.7330384118485922E-5</v>
      </c>
      <c r="T28" s="11">
        <f>R28-Q$28*S28</f>
        <v>1.3849576905427274</v>
      </c>
      <c r="U28" s="8"/>
      <c r="V28" s="8"/>
    </row>
    <row r="29" spans="1:22">
      <c r="A29" s="4" t="s">
        <v>5</v>
      </c>
      <c r="B29" s="16"/>
      <c r="C29" s="16"/>
      <c r="D29" s="16"/>
      <c r="E29" s="16"/>
      <c r="F29" s="16"/>
      <c r="G29" s="16"/>
      <c r="H29" s="16"/>
      <c r="I29" s="16"/>
      <c r="J29" s="15"/>
      <c r="K29" s="8"/>
      <c r="L29">
        <v>1.3360000000000001</v>
      </c>
      <c r="M29" s="15"/>
      <c r="N29" s="15"/>
      <c r="O29" s="8"/>
      <c r="P29" s="9" t="s">
        <v>5</v>
      </c>
      <c r="Q29" s="8"/>
      <c r="R29" s="8">
        <f t="shared" ref="R29:R31" si="15">M$28*L29/K$28</f>
        <v>1.3308994855781981</v>
      </c>
      <c r="S29" s="12">
        <f t="shared" ref="S29:S31" si="16">-L29/K$28*N$28</f>
        <v>-1.6826593882483428E-5</v>
      </c>
      <c r="T29" s="11">
        <f t="shared" ref="T29:T31" si="17">R29-Q$28*S29</f>
        <v>1.3446972925618346</v>
      </c>
      <c r="U29" s="8"/>
      <c r="V29" s="8"/>
    </row>
    <row r="30" spans="1:22">
      <c r="A30" s="4" t="s">
        <v>7</v>
      </c>
      <c r="B30" s="16"/>
      <c r="C30" s="16"/>
      <c r="D30" s="16"/>
      <c r="E30" s="16"/>
      <c r="F30" s="16"/>
      <c r="G30" s="16"/>
      <c r="H30" s="16"/>
      <c r="I30" s="16"/>
      <c r="J30" s="15"/>
      <c r="K30" s="8"/>
      <c r="L30">
        <f>ROUND((1.386*(0.546 + 0.635) + 1.406*(2.419))/(0.546 + 2.419 + 0.635),4)</f>
        <v>1.3994</v>
      </c>
      <c r="M30" s="15"/>
      <c r="N30" s="15"/>
      <c r="O30" s="8"/>
      <c r="P30" s="9" t="s">
        <v>7</v>
      </c>
      <c r="Q30" s="8"/>
      <c r="R30" s="8">
        <f t="shared" si="15"/>
        <v>1.3940574402081813</v>
      </c>
      <c r="S30" s="12">
        <f t="shared" si="16"/>
        <v>-1.7625101406547383E-5</v>
      </c>
      <c r="T30" s="11">
        <f t="shared" si="17"/>
        <v>1.4085100233615502</v>
      </c>
      <c r="U30" s="8"/>
      <c r="V30" s="8"/>
    </row>
    <row r="31" spans="1:22">
      <c r="A31" s="4" t="s">
        <v>6</v>
      </c>
      <c r="B31" s="16"/>
      <c r="C31" s="16"/>
      <c r="D31" s="16"/>
      <c r="E31" s="16"/>
      <c r="F31" s="16"/>
      <c r="G31" s="16"/>
      <c r="H31" s="16"/>
      <c r="I31" s="16"/>
      <c r="J31" s="15"/>
      <c r="K31" s="8"/>
      <c r="L31">
        <v>1.3360000000000001</v>
      </c>
      <c r="M31" s="15"/>
      <c r="N31" s="15"/>
      <c r="O31" s="8"/>
      <c r="P31" s="9" t="s">
        <v>6</v>
      </c>
      <c r="Q31" s="8"/>
      <c r="R31" s="8">
        <f t="shared" si="15"/>
        <v>1.3308994855781981</v>
      </c>
      <c r="S31" s="12">
        <f t="shared" si="16"/>
        <v>-1.6826593882483428E-5</v>
      </c>
      <c r="T31" s="11">
        <f t="shared" si="17"/>
        <v>1.3446972925618346</v>
      </c>
      <c r="U31" s="8"/>
      <c r="V31" s="8"/>
    </row>
    <row r="32" spans="1:22" ht="1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" customHeight="1">
      <c r="N33" s="8"/>
      <c r="O33" s="8"/>
      <c r="P33" s="8"/>
      <c r="Q33" s="8"/>
      <c r="R33" s="8"/>
      <c r="S33" s="8"/>
      <c r="T33" s="8"/>
      <c r="U33" s="8"/>
      <c r="V33" s="8"/>
    </row>
    <row r="34" spans="1:22" ht="28">
      <c r="A34" s="5" t="s">
        <v>39</v>
      </c>
      <c r="B34" s="10" t="s">
        <v>21</v>
      </c>
      <c r="C34" s="10" t="s">
        <v>45</v>
      </c>
      <c r="D34" s="10" t="s">
        <v>46</v>
      </c>
      <c r="E34" s="10" t="s">
        <v>47</v>
      </c>
      <c r="F34" s="10" t="s">
        <v>55</v>
      </c>
      <c r="G34" s="10" t="s">
        <v>56</v>
      </c>
      <c r="H34" s="10" t="s">
        <v>57</v>
      </c>
      <c r="I34" s="10" t="s">
        <v>58</v>
      </c>
      <c r="J34" s="10" t="s">
        <v>49</v>
      </c>
      <c r="K34" s="10" t="s">
        <v>50</v>
      </c>
      <c r="L34" s="10" t="s">
        <v>51</v>
      </c>
      <c r="M34" s="10" t="s">
        <v>52</v>
      </c>
      <c r="N34" s="10" t="s">
        <v>53</v>
      </c>
      <c r="O34" s="8"/>
      <c r="P34" s="8"/>
      <c r="Q34" s="10" t="s">
        <v>8</v>
      </c>
      <c r="R34" s="10" t="s">
        <v>13</v>
      </c>
      <c r="S34" s="10" t="s">
        <v>48</v>
      </c>
      <c r="T34" s="10" t="s">
        <v>12</v>
      </c>
      <c r="U34" s="8"/>
      <c r="V34" s="8"/>
    </row>
    <row r="35" spans="1:22">
      <c r="A35" s="4" t="s">
        <v>4</v>
      </c>
      <c r="B35" s="16">
        <v>0.56840275650000005</v>
      </c>
      <c r="C35" s="16">
        <v>0.1726177391</v>
      </c>
      <c r="D35" s="16">
        <v>2.086189578E-2</v>
      </c>
      <c r="E35" s="16">
        <v>0.11307486880000001</v>
      </c>
      <c r="F35" s="16">
        <v>5.1018297120000002E-3</v>
      </c>
      <c r="G35" s="16">
        <v>1.8211539360000001E-2</v>
      </c>
      <c r="H35" s="16">
        <v>2.6207222929999999E-2</v>
      </c>
      <c r="I35" s="16">
        <v>10.69792721</v>
      </c>
      <c r="J35" s="15">
        <v>555</v>
      </c>
      <c r="K35" s="8">
        <f t="shared" ref="K35" si="18">SQRT(1 + B35*J35^2/(J35^2 - 10^6*F35) + C35*J35^2/(J35^2 - 10^6*G35) + D35*J35^2/(J35^2 - 10^6*H35) + E35*J35^2/(J35^2 - 10^6*I35))</f>
        <v>1.334500004403691</v>
      </c>
      <c r="L35">
        <v>1.3771</v>
      </c>
      <c r="M35" s="15">
        <f t="shared" ref="M35" si="19">SQRT(1 + B35*Q35^2/(Q35^2 - 10^6*F35) + C35*Q35^2/(Q35^2 - 10^6*G35) + D35*Q35^2/(Q35^2 - 10^6*H35) + E35*Q35^2/(Q35^2 - 10^6*I35))</f>
        <v>1.3282679698571815</v>
      </c>
      <c r="N35" s="15">
        <f t="shared" ref="N35" si="20">(B35*Q35^3/(Q35^2 - 10^6*F35)^2 - B35*Q35/(Q35^2 - 10^6*F35) + C35*Q35^3/(Q35^2 - 10^6*G35)^2 - C35*Q35/(Q35^2 - 10^6*G35) + D35*Q35^3/(Q35^2 - 10^6*H35)^2 - D35*Q35/(Q35^2 - 10^6*H35) + E35*Q35^3/(Q35^2 - 10^6*I35)^2 - E35*Q35/(Q35^2 - 10^6*I35))/SQRT(1+B35*Q35^2/(Q35^2 - 10^6*F35) + C35*Q35^2/(Q35^2 - 10^6*G35) + D35*Q35^2/(Q35^2 - 10^6*H35) + E35*Q35^2/(Q35^2 - 10^6*I35))</f>
        <v>1.6793323566570967E-5</v>
      </c>
      <c r="O35" s="8"/>
      <c r="P35" s="9" t="s">
        <v>4</v>
      </c>
      <c r="Q35" s="8">
        <f>$A$2</f>
        <v>820</v>
      </c>
      <c r="R35" s="8">
        <f>M$35*L35/K$35</f>
        <v>1.3706690260429539</v>
      </c>
      <c r="S35" s="12">
        <f>-L35/K$35*N$35</f>
        <v>-1.732940112942042E-5</v>
      </c>
      <c r="T35" s="11">
        <f>R35-Q$35*S35</f>
        <v>1.3848791349690788</v>
      </c>
      <c r="U35" s="8"/>
      <c r="V35" s="8"/>
    </row>
    <row r="36" spans="1:22">
      <c r="A36" s="4" t="s">
        <v>5</v>
      </c>
      <c r="B36" s="16"/>
      <c r="C36" s="16"/>
      <c r="D36" s="16"/>
      <c r="E36" s="16"/>
      <c r="F36" s="16"/>
      <c r="G36" s="16"/>
      <c r="H36" s="16"/>
      <c r="I36" s="16"/>
      <c r="J36" s="15"/>
      <c r="K36" s="8"/>
      <c r="L36">
        <v>1.3373999999999999</v>
      </c>
      <c r="M36" s="15"/>
      <c r="N36" s="15"/>
      <c r="O36" s="8"/>
      <c r="P36" s="9" t="s">
        <v>5</v>
      </c>
      <c r="Q36" s="8"/>
      <c r="R36" s="8">
        <f t="shared" ref="R36:R38" si="21">M$35*L36/K$35</f>
        <v>1.3311544226489336</v>
      </c>
      <c r="S36" s="12">
        <f>-L36/K$35*N$35</f>
        <v>-1.6829817057938327E-5</v>
      </c>
      <c r="T36" s="11">
        <f>R36-Q$35*S36</f>
        <v>1.3449548726364431</v>
      </c>
      <c r="U36" s="8"/>
      <c r="V36" s="8"/>
    </row>
    <row r="37" spans="1:22">
      <c r="A37" s="4" t="s">
        <v>7</v>
      </c>
      <c r="B37" s="16"/>
      <c r="C37" s="16"/>
      <c r="D37" s="16"/>
      <c r="E37" s="16"/>
      <c r="F37" s="16"/>
      <c r="G37" s="16"/>
      <c r="H37" s="16"/>
      <c r="I37" s="16"/>
      <c r="J37" s="15"/>
      <c r="K37" s="8"/>
      <c r="L37">
        <v>1.42</v>
      </c>
      <c r="M37" s="15"/>
      <c r="N37" s="15"/>
      <c r="O37" s="8"/>
      <c r="P37" s="9" t="s">
        <v>7</v>
      </c>
      <c r="Q37" s="8"/>
      <c r="R37" s="8">
        <f t="shared" si="21"/>
        <v>1.4133686856299428</v>
      </c>
      <c r="S37" s="12">
        <f>-L37/K$35*N$35</f>
        <v>-1.7869253942180666E-5</v>
      </c>
      <c r="T37" s="11">
        <f>R37-Q$35*S37</f>
        <v>1.428021473862531</v>
      </c>
      <c r="U37" s="8"/>
      <c r="V37" s="8"/>
    </row>
    <row r="38" spans="1:22">
      <c r="A38" s="4" t="s">
        <v>6</v>
      </c>
      <c r="B38" s="16"/>
      <c r="C38" s="16"/>
      <c r="D38" s="16"/>
      <c r="E38" s="16"/>
      <c r="F38" s="16"/>
      <c r="G38" s="16"/>
      <c r="H38" s="16"/>
      <c r="I38" s="16"/>
      <c r="J38" s="15"/>
      <c r="K38" s="8"/>
      <c r="L38">
        <v>1.3360000000000001</v>
      </c>
      <c r="M38" s="15"/>
      <c r="N38" s="15"/>
      <c r="O38" s="8"/>
      <c r="P38" s="9" t="s">
        <v>6</v>
      </c>
      <c r="Q38" s="8"/>
      <c r="R38" s="8">
        <f t="shared" si="21"/>
        <v>1.3297609605645098</v>
      </c>
      <c r="S38" s="12">
        <f>-L38/K$35*N$35</f>
        <v>-1.6812199483629137E-5</v>
      </c>
      <c r="T38" s="11">
        <f>R38-Q$35*S38</f>
        <v>1.3435469641410858</v>
      </c>
      <c r="U38" s="8"/>
      <c r="V38" s="8"/>
    </row>
    <row r="39" spans="1:2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28">
      <c r="A41" s="5" t="s">
        <v>29</v>
      </c>
      <c r="B41" s="10" t="s">
        <v>21</v>
      </c>
      <c r="C41" s="10" t="s">
        <v>45</v>
      </c>
      <c r="D41" s="10" t="s">
        <v>46</v>
      </c>
      <c r="E41" s="10" t="s">
        <v>47</v>
      </c>
      <c r="F41" s="10" t="s">
        <v>55</v>
      </c>
      <c r="G41" s="10" t="s">
        <v>56</v>
      </c>
      <c r="H41" s="10" t="s">
        <v>57</v>
      </c>
      <c r="I41" s="10" t="s">
        <v>58</v>
      </c>
      <c r="J41" s="10" t="s">
        <v>49</v>
      </c>
      <c r="K41" s="10" t="s">
        <v>50</v>
      </c>
      <c r="L41" s="10" t="s">
        <v>51</v>
      </c>
      <c r="M41" s="10" t="s">
        <v>52</v>
      </c>
      <c r="N41" s="10" t="s">
        <v>53</v>
      </c>
      <c r="O41" s="10"/>
      <c r="P41" s="8"/>
      <c r="Q41" s="10" t="s">
        <v>8</v>
      </c>
      <c r="R41" s="10" t="s">
        <v>13</v>
      </c>
      <c r="S41" s="10" t="s">
        <v>48</v>
      </c>
      <c r="T41" s="10" t="s">
        <v>12</v>
      </c>
      <c r="U41" s="8"/>
      <c r="V41" s="8"/>
    </row>
    <row r="42" spans="1:22">
      <c r="A42" s="4" t="s">
        <v>4</v>
      </c>
      <c r="B42" s="16">
        <v>0.56840275650000005</v>
      </c>
      <c r="C42" s="16">
        <v>0.1726177391</v>
      </c>
      <c r="D42" s="16">
        <v>2.086189578E-2</v>
      </c>
      <c r="E42" s="16">
        <v>0.11307486880000001</v>
      </c>
      <c r="F42" s="16">
        <v>5.1018297120000002E-3</v>
      </c>
      <c r="G42" s="16">
        <v>1.8211539360000001E-2</v>
      </c>
      <c r="H42" s="16">
        <v>2.6207222929999999E-2</v>
      </c>
      <c r="I42" s="16">
        <v>10.69792721</v>
      </c>
      <c r="J42" s="15">
        <v>589</v>
      </c>
      <c r="K42" s="8">
        <f t="shared" ref="K42" si="22">SQRT(1 + B42*J42^2/(J42^2 - 10^6*F42) + C42*J42^2/(J42^2 - 10^6*G42) + D42*J42^2/(J42^2 - 10^6*H42) + E42*J42^2/(J42^2 - 10^6*I42))</f>
        <v>1.3333583993071043</v>
      </c>
      <c r="L42">
        <v>1.3771</v>
      </c>
      <c r="M42" s="15">
        <f t="shared" ref="M42" si="23">SQRT(1 + B42*Q42^2/(Q42^2 - 10^6*F42) + C42*Q42^2/(Q42^2 - 10^6*G42) + D42*Q42^2/(Q42^2 - 10^6*H42) + E42*Q42^2/(Q42^2 - 10^6*I42))</f>
        <v>1.3282679698571815</v>
      </c>
      <c r="N42" s="15">
        <f t="shared" ref="N42" si="24">(B42*Q42^3/(Q42^2 - 10^6*F42)^2 - B42*Q42/(Q42^2 - 10^6*F42) + C42*Q42^3/(Q42^2 - 10^6*G42)^2 - C42*Q42/(Q42^2 - 10^6*G42) + D42*Q42^3/(Q42^2 - 10^6*H42)^2 - D42*Q42/(Q42^2 - 10^6*H42) + E42*Q42^3/(Q42^2 - 10^6*I42)^2 - E42*Q42/(Q42^2 - 10^6*I42))/SQRT(1+B42*Q42^2/(Q42^2 - 10^6*F42) + C42*Q42^2/(Q42^2 - 10^6*G42) + D42*Q42^2/(Q42^2 - 10^6*H42) + E42*Q42^2/(Q42^2 - 10^6*I42))</f>
        <v>1.6793323566570967E-5</v>
      </c>
      <c r="O42" s="8"/>
      <c r="P42" s="9" t="s">
        <v>4</v>
      </c>
      <c r="Q42" s="8">
        <f>$A$2</f>
        <v>820</v>
      </c>
      <c r="R42" s="8">
        <f>M$42*L42/K$42</f>
        <v>1.371842576040222</v>
      </c>
      <c r="S42" s="12">
        <f>-L42/K$42*N$42</f>
        <v>-1.7344238349975992E-5</v>
      </c>
      <c r="T42" s="11">
        <f>R42-Q$42*S42</f>
        <v>1.3860648514872023</v>
      </c>
      <c r="U42" s="8"/>
      <c r="V42" s="8"/>
    </row>
    <row r="43" spans="1:22">
      <c r="A43" s="4" t="s">
        <v>5</v>
      </c>
      <c r="B43" s="16"/>
      <c r="C43" s="16"/>
      <c r="D43" s="16"/>
      <c r="E43" s="16"/>
      <c r="F43" s="16"/>
      <c r="G43" s="16"/>
      <c r="H43" s="16"/>
      <c r="I43" s="16"/>
      <c r="J43" s="15"/>
      <c r="L43">
        <v>1.3373999999999999</v>
      </c>
      <c r="M43" s="15"/>
      <c r="N43" s="15"/>
      <c r="O43" s="8"/>
      <c r="P43" s="9" t="s">
        <v>5</v>
      </c>
      <c r="Q43" s="8"/>
      <c r="R43" s="8">
        <f t="shared" ref="R43:R45" si="25">M$42*L43/K$42</f>
        <v>1.332294140727756</v>
      </c>
      <c r="S43" s="12">
        <f t="shared" ref="S43:S45" si="26">-L43/K$42*N$42</f>
        <v>-1.6844226540743511E-5</v>
      </c>
      <c r="T43" s="11">
        <f t="shared" ref="T43:T45" si="27">R43-Q$42*S43</f>
        <v>1.3461064064911656</v>
      </c>
      <c r="U43" s="8"/>
      <c r="V43" s="8"/>
    </row>
    <row r="44" spans="1:22">
      <c r="A44" s="4" t="s">
        <v>7</v>
      </c>
      <c r="B44" s="16"/>
      <c r="C44" s="16"/>
      <c r="D44" s="16"/>
      <c r="E44" s="16"/>
      <c r="F44" s="16"/>
      <c r="G44" s="16"/>
      <c r="H44" s="16"/>
      <c r="I44" s="16"/>
      <c r="J44" s="15"/>
      <c r="L44">
        <v>1.42</v>
      </c>
      <c r="M44" s="15"/>
      <c r="N44" s="15"/>
      <c r="O44" s="8"/>
      <c r="P44" s="9" t="s">
        <v>7</v>
      </c>
      <c r="Q44" s="8"/>
      <c r="R44" s="8">
        <f t="shared" si="25"/>
        <v>1.4145787945516772</v>
      </c>
      <c r="S44" s="12">
        <f t="shared" si="26"/>
        <v>-1.7884553378088666E-5</v>
      </c>
      <c r="T44" s="11">
        <f t="shared" si="27"/>
        <v>1.4292441283217099</v>
      </c>
      <c r="U44" s="8"/>
      <c r="V44" s="8"/>
    </row>
    <row r="45" spans="1:22">
      <c r="A45" s="4" t="s">
        <v>6</v>
      </c>
      <c r="B45" s="16"/>
      <c r="C45" s="16"/>
      <c r="D45" s="16"/>
      <c r="E45" s="16"/>
      <c r="F45" s="16"/>
      <c r="G45" s="16"/>
      <c r="H45" s="16"/>
      <c r="I45" s="16"/>
      <c r="J45" s="15"/>
      <c r="L45">
        <v>1.3360000000000001</v>
      </c>
      <c r="M45" s="15"/>
      <c r="N45" s="15"/>
      <c r="O45" s="8"/>
      <c r="P45" s="9" t="s">
        <v>6</v>
      </c>
      <c r="Q45" s="8"/>
      <c r="R45" s="8">
        <f t="shared" si="25"/>
        <v>1.3308994855781981</v>
      </c>
      <c r="S45" s="12">
        <f t="shared" si="26"/>
        <v>-1.6826593882483428E-5</v>
      </c>
      <c r="T45" s="11">
        <f t="shared" si="27"/>
        <v>1.3446972925618346</v>
      </c>
      <c r="U45" s="8"/>
      <c r="V45" s="8"/>
    </row>
    <row r="46" spans="1:2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27.5">
      <c r="A48" s="5" t="s">
        <v>43</v>
      </c>
      <c r="B48" s="10" t="s">
        <v>0</v>
      </c>
      <c r="C48" s="10" t="s">
        <v>1</v>
      </c>
      <c r="D48" s="10" t="s">
        <v>2</v>
      </c>
      <c r="E48" s="10" t="s">
        <v>3</v>
      </c>
      <c r="F48" s="10"/>
      <c r="G48" s="10"/>
      <c r="H48" s="10"/>
      <c r="I48" s="10"/>
      <c r="J48" s="10"/>
      <c r="K48" s="10"/>
      <c r="L48" s="10"/>
      <c r="M48" s="10"/>
      <c r="N48" s="10"/>
      <c r="O48" s="8"/>
      <c r="P48" s="8"/>
      <c r="Q48" s="10" t="s">
        <v>8</v>
      </c>
      <c r="R48" s="10" t="s">
        <v>13</v>
      </c>
      <c r="S48" s="10" t="s">
        <v>48</v>
      </c>
      <c r="T48" s="10" t="s">
        <v>12</v>
      </c>
      <c r="U48" s="8"/>
      <c r="V48" s="8"/>
    </row>
    <row r="49" spans="1:22">
      <c r="A49" s="4" t="s">
        <v>4</v>
      </c>
      <c r="B49" s="12">
        <v>1.361594</v>
      </c>
      <c r="C49" s="12">
        <v>6009.6869999999999</v>
      </c>
      <c r="D49" s="12">
        <v>-676076000</v>
      </c>
      <c r="E49" s="12">
        <v>59084500000000</v>
      </c>
      <c r="F49" s="8"/>
      <c r="G49" s="8"/>
      <c r="H49" s="8"/>
      <c r="I49" s="8"/>
      <c r="J49" s="8"/>
      <c r="K49" s="8"/>
      <c r="L49" s="8"/>
      <c r="M49" s="8"/>
      <c r="N49" s="11"/>
      <c r="O49" s="8"/>
      <c r="P49" s="9" t="s">
        <v>4</v>
      </c>
      <c r="Q49" s="8">
        <f t="shared" ref="Q49" si="28">$A$2</f>
        <v>820</v>
      </c>
      <c r="R49" s="11">
        <f>B49 + C49/Q$49^2 + D49/Q$49^4 + E49/Q$49^6</f>
        <v>1.3692306786630519</v>
      </c>
      <c r="S49" s="12">
        <f>-2*C49/Q$49^3 - 4*D49/Q$49^5 - 6*E49/Q$49^7</f>
        <v>-1.5926935125167293E-5</v>
      </c>
      <c r="T49" s="11">
        <f>R49-Q$49*S49</f>
        <v>1.3822907654656891</v>
      </c>
      <c r="U49" s="8"/>
      <c r="V49" s="8"/>
    </row>
    <row r="50" spans="1:22">
      <c r="A50" s="4" t="s">
        <v>5</v>
      </c>
      <c r="B50" s="12">
        <v>1.321631</v>
      </c>
      <c r="C50" s="12">
        <v>6070.7960000000003</v>
      </c>
      <c r="D50" s="12">
        <v>-706230500</v>
      </c>
      <c r="E50" s="12">
        <v>61478610000000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9" t="s">
        <v>5</v>
      </c>
      <c r="Q50" s="8"/>
      <c r="R50" s="11">
        <f t="shared" ref="R50:R52" si="29">B50 + C50/Q$49^2 + D50/Q$49^4 + E50/Q$49^6</f>
        <v>1.3292997402384978</v>
      </c>
      <c r="S50" s="12">
        <f t="shared" ref="S50:S52" si="30">-2*C50/Q$49^3 - 4*D50/Q$49^5 - 6*E50/Q$49^7</f>
        <v>-1.5880877623660394E-5</v>
      </c>
      <c r="T50" s="11">
        <f t="shared" ref="T50:T52" si="31">R50-Q$49*S50</f>
        <v>1.3423220598898993</v>
      </c>
      <c r="U50" s="8"/>
      <c r="V50" s="8"/>
    </row>
    <row r="51" spans="1:22">
      <c r="A51" s="4" t="s">
        <v>7</v>
      </c>
      <c r="B51" s="12">
        <v>1.389248</v>
      </c>
      <c r="C51" s="12">
        <v>6521.2179999999998</v>
      </c>
      <c r="D51" s="12">
        <v>-611066100</v>
      </c>
      <c r="E51" s="12">
        <v>59081910000000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9" t="s">
        <v>7</v>
      </c>
      <c r="Q51" s="8"/>
      <c r="R51" s="11">
        <f t="shared" si="29"/>
        <v>1.3977892126375417</v>
      </c>
      <c r="S51" s="12">
        <f t="shared" si="30"/>
        <v>-1.8483777598247059E-5</v>
      </c>
      <c r="T51" s="11">
        <f t="shared" si="31"/>
        <v>1.4129459102681043</v>
      </c>
      <c r="U51" s="8"/>
      <c r="V51" s="8"/>
    </row>
    <row r="52" spans="1:22">
      <c r="A52" s="4" t="s">
        <v>6</v>
      </c>
      <c r="B52" s="12">
        <v>1.322357</v>
      </c>
      <c r="C52" s="12">
        <v>5560.24</v>
      </c>
      <c r="D52" s="12">
        <v>-581739100</v>
      </c>
      <c r="E52" s="12">
        <v>50368100000000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9" t="s">
        <v>6</v>
      </c>
      <c r="Q52" s="8"/>
      <c r="R52" s="11">
        <f t="shared" si="29"/>
        <v>1.329505238602144</v>
      </c>
      <c r="S52" s="12">
        <f t="shared" si="30"/>
        <v>-1.510466734266615E-5</v>
      </c>
      <c r="T52" s="11">
        <f t="shared" si="31"/>
        <v>1.3418910658231302</v>
      </c>
      <c r="U52" s="8"/>
      <c r="V52" s="8"/>
    </row>
    <row r="53" spans="1:2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8"/>
      <c r="V53" s="8"/>
    </row>
    <row r="54" spans="1:2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27.5">
      <c r="A55" s="5" t="s">
        <v>44</v>
      </c>
      <c r="B55" s="10" t="s">
        <v>0</v>
      </c>
      <c r="C55" s="10" t="s">
        <v>1</v>
      </c>
      <c r="D55" s="10" t="s">
        <v>2</v>
      </c>
      <c r="E55" s="10" t="s">
        <v>3</v>
      </c>
      <c r="F55" s="10"/>
      <c r="G55" s="10"/>
      <c r="H55" s="10"/>
      <c r="I55" s="10"/>
      <c r="J55" s="10"/>
      <c r="K55" s="10"/>
      <c r="L55" s="10"/>
      <c r="M55" s="10"/>
      <c r="N55" s="10"/>
      <c r="O55" s="8"/>
      <c r="P55" s="8"/>
      <c r="Q55" s="10" t="s">
        <v>8</v>
      </c>
      <c r="R55" s="10" t="s">
        <v>13</v>
      </c>
      <c r="S55" s="10" t="s">
        <v>48</v>
      </c>
      <c r="T55" s="10" t="s">
        <v>12</v>
      </c>
      <c r="U55" s="8"/>
      <c r="V55" s="8"/>
    </row>
    <row r="56" spans="1:22">
      <c r="A56" s="4" t="s">
        <v>4</v>
      </c>
      <c r="B56" s="12">
        <v>1.361594</v>
      </c>
      <c r="C56" s="12">
        <v>6009.6869999999999</v>
      </c>
      <c r="D56" s="12">
        <v>-676076000</v>
      </c>
      <c r="E56" s="12">
        <v>59084500000000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9" t="s">
        <v>4</v>
      </c>
      <c r="Q56" s="8">
        <f>$A$2</f>
        <v>820</v>
      </c>
      <c r="R56" s="11">
        <f>B56 + C56/Q$56^2 + D56/Q$56^4 + E56/Q$56^6</f>
        <v>1.3692306786630519</v>
      </c>
      <c r="S56" s="12">
        <f>-2*C56/Q$56^3 - 4*D56/Q$56^5 - 6*E56/Q$56^7</f>
        <v>-1.5926935125167293E-5</v>
      </c>
      <c r="T56" s="11">
        <f>R56-Q$56*S56</f>
        <v>1.3822907654656891</v>
      </c>
      <c r="U56" s="8"/>
      <c r="V56" s="8"/>
    </row>
    <row r="57" spans="1:22">
      <c r="A57" s="4" t="s">
        <v>5</v>
      </c>
      <c r="B57" s="12">
        <v>1.321631</v>
      </c>
      <c r="C57" s="12">
        <v>6070.7960000000003</v>
      </c>
      <c r="D57" s="12">
        <v>-706230500</v>
      </c>
      <c r="E57" s="12">
        <v>61478610000000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9" t="s">
        <v>5</v>
      </c>
      <c r="Q57" s="8"/>
      <c r="R57" s="11">
        <f t="shared" ref="R57:R59" si="32">B57 + C57/Q$56^2 + D57/Q$56^4 + E57/Q$56^6</f>
        <v>1.3292997402384978</v>
      </c>
      <c r="S57" s="12">
        <f t="shared" ref="S57:S59" si="33">-2*C57/Q$56^3 - 4*D57/Q$56^5 - 6*E57/Q$56^7</f>
        <v>-1.5880877623660394E-5</v>
      </c>
      <c r="T57" s="11">
        <f t="shared" ref="T57:T59" si="34">R57-Q$56*S57</f>
        <v>1.3423220598898993</v>
      </c>
      <c r="U57" s="8"/>
      <c r="V57" s="8"/>
    </row>
    <row r="58" spans="1:22">
      <c r="A58" s="4" t="s">
        <v>7</v>
      </c>
      <c r="B58" s="12">
        <v>1.369486</v>
      </c>
      <c r="C58" s="12">
        <v>6428.4549999999999</v>
      </c>
      <c r="D58" s="12">
        <v>-602373800</v>
      </c>
      <c r="E58" s="12">
        <v>58241490000000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9" t="s">
        <v>7</v>
      </c>
      <c r="Q58" s="8"/>
      <c r="R58" s="11">
        <f t="shared" si="32"/>
        <v>1.3779057156712751</v>
      </c>
      <c r="S58" s="12">
        <f t="shared" si="33"/>
        <v>-1.8220849913707316E-5</v>
      </c>
      <c r="T58" s="11">
        <f t="shared" si="34"/>
        <v>1.3928468126005151</v>
      </c>
      <c r="U58" s="8"/>
      <c r="V58" s="8"/>
    </row>
    <row r="59" spans="1:22">
      <c r="A59" s="4" t="s">
        <v>6</v>
      </c>
      <c r="B59" s="12">
        <v>1.322357</v>
      </c>
      <c r="C59" s="12">
        <v>5560.24</v>
      </c>
      <c r="D59" s="12">
        <v>-581739100</v>
      </c>
      <c r="E59" s="12">
        <v>50368100000000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9" t="s">
        <v>6</v>
      </c>
      <c r="Q59" s="8"/>
      <c r="R59" s="11">
        <f t="shared" si="32"/>
        <v>1.329505238602144</v>
      </c>
      <c r="S59" s="12">
        <f t="shared" si="33"/>
        <v>-1.510466734266615E-5</v>
      </c>
      <c r="T59" s="11">
        <f t="shared" si="34"/>
        <v>1.3418910658231302</v>
      </c>
      <c r="U59" s="8"/>
      <c r="V59" s="8"/>
    </row>
    <row r="60" spans="1:2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S61" s="8"/>
      <c r="T61" s="8"/>
      <c r="U61" s="8"/>
      <c r="V61" s="8"/>
    </row>
    <row r="62" spans="1:22" ht="27.5">
      <c r="A62" s="5" t="s">
        <v>41</v>
      </c>
      <c r="B62" s="10" t="s">
        <v>0</v>
      </c>
      <c r="C62" s="10" t="s">
        <v>1</v>
      </c>
      <c r="D62" s="10" t="s">
        <v>2</v>
      </c>
      <c r="E62" s="10" t="s">
        <v>3</v>
      </c>
      <c r="F62" s="10" t="s">
        <v>69</v>
      </c>
      <c r="G62" s="10" t="s">
        <v>70</v>
      </c>
      <c r="H62" s="10" t="s">
        <v>49</v>
      </c>
      <c r="I62" s="10" t="s">
        <v>51</v>
      </c>
      <c r="J62" s="10" t="s">
        <v>54</v>
      </c>
      <c r="K62" s="10"/>
      <c r="M62" s="10"/>
      <c r="N62" s="10"/>
      <c r="O62" s="8"/>
      <c r="P62" s="8"/>
      <c r="Q62" s="10" t="s">
        <v>8</v>
      </c>
      <c r="R62" s="10" t="s">
        <v>13</v>
      </c>
      <c r="S62" s="10" t="s">
        <v>48</v>
      </c>
      <c r="T62" s="10" t="s">
        <v>12</v>
      </c>
      <c r="U62" s="8"/>
      <c r="V62" s="8"/>
    </row>
    <row r="63" spans="1:22">
      <c r="A63" s="4" t="s">
        <v>4</v>
      </c>
      <c r="B63" s="12">
        <v>1.361594</v>
      </c>
      <c r="C63" s="12">
        <v>6009.6869999999999</v>
      </c>
      <c r="D63" s="12">
        <v>-676076000</v>
      </c>
      <c r="E63" s="12">
        <v>59084500000000</v>
      </c>
      <c r="F63" s="8">
        <f>B63 + C63/Q$63^2 + D63/Q$63^4 + E63/Q$63^6</f>
        <v>1.3692306786630519</v>
      </c>
      <c r="G63" s="12">
        <f>-2*C63/Q$63^3 - 4*D63/Q$63^5 - 6*E63/Q$63^7</f>
        <v>-1.5926935125167293E-5</v>
      </c>
      <c r="H63" s="8">
        <v>555</v>
      </c>
      <c r="I63" s="8">
        <v>1.3759999999999999</v>
      </c>
      <c r="J63" s="8">
        <f>B63 + C63/H$63^2 + D63/H$63^4 + E63/H$63^6</f>
        <v>1.3760004470453966</v>
      </c>
      <c r="K63" s="8"/>
      <c r="L63" s="8"/>
      <c r="M63" s="8"/>
      <c r="N63" s="8"/>
      <c r="O63" s="8"/>
      <c r="P63" s="9" t="s">
        <v>4</v>
      </c>
      <c r="Q63" s="8">
        <f>$A$2</f>
        <v>820</v>
      </c>
      <c r="R63" s="8">
        <f>F63*$I63/$J63</f>
        <v>1.3692302338170685</v>
      </c>
      <c r="S63" s="8">
        <f>G63*$I63/$J63</f>
        <v>-1.5926929950704563E-5</v>
      </c>
      <c r="T63" s="11">
        <f>R63-Q$63*S63</f>
        <v>1.3822903163766462</v>
      </c>
      <c r="U63" s="8"/>
      <c r="V63" s="8"/>
    </row>
    <row r="64" spans="1:22">
      <c r="A64" s="4" t="s">
        <v>5</v>
      </c>
      <c r="B64" s="12">
        <v>1.321631</v>
      </c>
      <c r="C64" s="12">
        <v>6070.7960000000003</v>
      </c>
      <c r="D64" s="12">
        <v>-706230500</v>
      </c>
      <c r="E64" s="12">
        <v>61478610000000</v>
      </c>
      <c r="F64" s="8">
        <f t="shared" ref="F64:F66" si="35">B64 + C64/Q$63^2 + D64/Q$63^4 + E64/Q$63^6</f>
        <v>1.3292997402384978</v>
      </c>
      <c r="G64" s="12">
        <f t="shared" ref="G64:G66" si="36">-2*C64/Q$63^3 - 4*D64/Q$63^5 - 6*E64/Q$63^7</f>
        <v>-1.5880877623660394E-5</v>
      </c>
      <c r="H64" s="8"/>
      <c r="I64" s="8">
        <v>1.3360000000000001</v>
      </c>
      <c r="J64" s="8">
        <f>B64 + C64/H$63^2 + D64/H$63^4 + E64/H$63^6</f>
        <v>1.3359999368301452</v>
      </c>
      <c r="K64" s="8"/>
      <c r="L64" s="8"/>
      <c r="M64" s="8"/>
      <c r="N64" s="8"/>
      <c r="O64" s="8"/>
      <c r="P64" s="9" t="s">
        <v>5</v>
      </c>
      <c r="Q64" s="8"/>
      <c r="R64" s="8">
        <f t="shared" ref="R64:R66" si="37">F64*$I64/$J64</f>
        <v>1.3292998030915486</v>
      </c>
      <c r="S64" s="8">
        <f t="shared" ref="S64:S66" si="38">G64*$I64/$J64</f>
        <v>-1.5880878374553194E-5</v>
      </c>
      <c r="T64" s="11">
        <f t="shared" ref="T64:T66" si="39">R64-Q$63*S64</f>
        <v>1.3423221233586822</v>
      </c>
      <c r="U64" s="8"/>
      <c r="V64" s="8"/>
    </row>
    <row r="65" spans="1:22">
      <c r="A65" s="4" t="s">
        <v>7</v>
      </c>
      <c r="B65" s="12">
        <v>1.389248</v>
      </c>
      <c r="C65" s="12">
        <v>6521.2179999999998</v>
      </c>
      <c r="D65" s="12">
        <v>-611066100</v>
      </c>
      <c r="E65" s="12">
        <v>59081910000000</v>
      </c>
      <c r="F65" s="8">
        <f t="shared" si="35"/>
        <v>1.3977892126375417</v>
      </c>
      <c r="G65" s="12">
        <f t="shared" si="36"/>
        <v>-1.8483777598247059E-5</v>
      </c>
      <c r="H65" s="8"/>
      <c r="I65" s="8">
        <f>ROUND((1.386*(0.546 + 0.635) + 1.406*(2.419))/(0.546 + 2.419 + 0.635),4)</f>
        <v>1.3994</v>
      </c>
      <c r="J65" s="8">
        <f>B65 + C65/H$63^2 + D65/H$63^4 + E65/H$63^6</f>
        <v>1.4060002231190278</v>
      </c>
      <c r="K65" s="8"/>
      <c r="L65" s="8"/>
      <c r="M65" s="8"/>
      <c r="N65" s="8"/>
      <c r="O65" s="8"/>
      <c r="P65" s="9" t="s">
        <v>7</v>
      </c>
      <c r="Q65" s="8"/>
      <c r="R65" s="8">
        <f t="shared" si="37"/>
        <v>1.3912275346768426</v>
      </c>
      <c r="S65" s="8">
        <f t="shared" si="38"/>
        <v>-1.8397008724227761E-5</v>
      </c>
      <c r="T65" s="11">
        <f t="shared" si="39"/>
        <v>1.4063130818307092</v>
      </c>
      <c r="U65" s="8"/>
      <c r="V65" s="8"/>
    </row>
    <row r="66" spans="1:22">
      <c r="A66" s="4" t="s">
        <v>6</v>
      </c>
      <c r="B66" s="12">
        <v>1.322357</v>
      </c>
      <c r="C66" s="12">
        <v>5560.24</v>
      </c>
      <c r="D66" s="12">
        <v>-581739100</v>
      </c>
      <c r="E66" s="12">
        <v>50368100000000</v>
      </c>
      <c r="F66" s="8">
        <f t="shared" si="35"/>
        <v>1.329505238602144</v>
      </c>
      <c r="G66" s="12">
        <f t="shared" si="36"/>
        <v>-1.510466734266615E-5</v>
      </c>
      <c r="H66" s="8"/>
      <c r="I66" s="8">
        <v>1.3360000000000001</v>
      </c>
      <c r="J66" s="8">
        <f>B66 + C66/H$63^2 + D66/H$63^4 + E66/H$63^6</f>
        <v>1.3360003550063808</v>
      </c>
      <c r="K66" s="8"/>
      <c r="L66" s="8"/>
      <c r="M66" s="8"/>
      <c r="N66" s="8"/>
      <c r="O66" s="8"/>
      <c r="P66" s="9" t="s">
        <v>6</v>
      </c>
      <c r="Q66" s="8"/>
      <c r="R66" s="8">
        <f t="shared" si="37"/>
        <v>1.3295048853216667</v>
      </c>
      <c r="S66" s="8">
        <f t="shared" si="38"/>
        <v>-1.5104663329004576E-5</v>
      </c>
      <c r="T66" s="11">
        <f t="shared" si="39"/>
        <v>1.3418907092514505</v>
      </c>
      <c r="U66" s="8"/>
      <c r="V66" s="8"/>
    </row>
    <row r="67" spans="1:22" ht="16.5">
      <c r="B67" s="8" t="s">
        <v>68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27.5">
      <c r="A69" s="5" t="s">
        <v>33</v>
      </c>
      <c r="B69" s="10" t="s">
        <v>0</v>
      </c>
      <c r="C69" s="10" t="s">
        <v>1</v>
      </c>
      <c r="D69" s="10" t="s">
        <v>2</v>
      </c>
      <c r="E69" s="10" t="s">
        <v>3</v>
      </c>
      <c r="F69" s="10" t="s">
        <v>69</v>
      </c>
      <c r="G69" s="10" t="s">
        <v>70</v>
      </c>
      <c r="H69" s="10" t="s">
        <v>30</v>
      </c>
      <c r="I69" s="10" t="s">
        <v>31</v>
      </c>
      <c r="J69" s="10" t="s">
        <v>49</v>
      </c>
      <c r="K69" s="10" t="s">
        <v>51</v>
      </c>
      <c r="L69" s="10" t="s">
        <v>54</v>
      </c>
      <c r="M69" s="8"/>
      <c r="N69" s="8"/>
      <c r="O69" s="8"/>
      <c r="P69" s="8"/>
      <c r="Q69" s="10" t="s">
        <v>8</v>
      </c>
      <c r="R69" s="10" t="s">
        <v>13</v>
      </c>
      <c r="S69" s="10" t="s">
        <v>48</v>
      </c>
      <c r="T69" s="10" t="s">
        <v>12</v>
      </c>
      <c r="U69" s="8"/>
      <c r="V69" s="8"/>
    </row>
    <row r="70" spans="1:22">
      <c r="A70" s="4" t="s">
        <v>4</v>
      </c>
      <c r="B70" s="12">
        <v>1.361594</v>
      </c>
      <c r="C70" s="12">
        <v>6009.6869999999999</v>
      </c>
      <c r="D70" s="12">
        <v>-676076000</v>
      </c>
      <c r="E70" s="12">
        <v>59084500000000</v>
      </c>
      <c r="F70" s="8">
        <f>B70 + C70/Q$70^2 + D70/Q$70^4 + E70/Q$70^6</f>
        <v>1.3692306786630519</v>
      </c>
      <c r="G70" s="12">
        <f>-2*C70/Q$70^3 - 4*D70/Q$70^5 - 6*E70/Q$70^7</f>
        <v>-1.5926935125167293E-5</v>
      </c>
      <c r="H70" s="8">
        <v>555</v>
      </c>
      <c r="I70" s="8">
        <v>1.3759999999999999</v>
      </c>
      <c r="J70" s="8">
        <v>589</v>
      </c>
      <c r="K70" s="8">
        <f>(B70 + C70/H$70^2 + D70/H$70^4 + E70/H$70^6)*I70/(B70 + C70/J$70^2 + D70/J$70^4 + E70/J$70^6)</f>
        <v>1.3772870270859552</v>
      </c>
      <c r="L70" s="8">
        <f>B70 + C70/H$70^2 + D70/H$70^4 + E70/H$70^6</f>
        <v>1.3760004470453966</v>
      </c>
      <c r="M70" s="8"/>
      <c r="N70" s="8"/>
      <c r="O70" s="8"/>
      <c r="P70" s="9" t="s">
        <v>4</v>
      </c>
      <c r="Q70" s="8">
        <f t="shared" ref="Q70" si="40">$A$2</f>
        <v>820</v>
      </c>
      <c r="R70" s="8">
        <f>F70*$K70/$L70</f>
        <v>1.3705109288736321</v>
      </c>
      <c r="S70" s="12">
        <f>G70*$K70/$L70</f>
        <v>-1.5941827036636734E-5</v>
      </c>
      <c r="T70" s="11">
        <f>R70-Q$70*S70</f>
        <v>1.3835832270436743</v>
      </c>
      <c r="U70" s="8"/>
      <c r="V70" s="8"/>
    </row>
    <row r="71" spans="1:22">
      <c r="A71" s="4" t="s">
        <v>5</v>
      </c>
      <c r="B71" s="12">
        <v>1.321631</v>
      </c>
      <c r="C71" s="12">
        <v>6070.7960000000003</v>
      </c>
      <c r="D71" s="12">
        <v>-706230500</v>
      </c>
      <c r="E71" s="12">
        <v>61478610000000</v>
      </c>
      <c r="F71" s="8">
        <f t="shared" ref="F71:F73" si="41">B71 + C71/Q$70^2 + D71/Q$70^4 + E71/Q$70^6</f>
        <v>1.3292997402384978</v>
      </c>
      <c r="G71" s="12">
        <f t="shared" ref="G71:G73" si="42">-2*C71/Q$70^3 - 4*D71/Q$70^5 - 6*E71/Q$70^7</f>
        <v>-1.5880877623660394E-5</v>
      </c>
      <c r="H71" s="8"/>
      <c r="I71" s="8">
        <v>1.3360000000000001</v>
      </c>
      <c r="J71" s="8"/>
      <c r="K71" s="8">
        <f t="shared" ref="K71:K73" si="43">(B71 + C71/H$70^2 + D71/H$70^4 + E71/H$70^6)*I71/(B71 + C71/J$70^2 + D71/J$70^4 + E71/J$70^6)</f>
        <v>1.3372665762722542</v>
      </c>
      <c r="L71" s="8">
        <f t="shared" ref="L71:L73" si="44">B71 + C71/H$70^2 + D71/H$70^4 + E71/H$70^6</f>
        <v>1.3359999368301452</v>
      </c>
      <c r="M71" s="8"/>
      <c r="N71" s="8"/>
      <c r="O71" s="8"/>
      <c r="P71" s="9" t="s">
        <v>5</v>
      </c>
      <c r="Q71" s="8"/>
      <c r="R71" s="8">
        <f t="shared" ref="R71:R73" si="45">F71*$K71/$L71</f>
        <v>1.3305600273350424</v>
      </c>
      <c r="S71" s="12">
        <f t="shared" ref="S71:S73" si="46">G71*$K71/$L71</f>
        <v>-1.5895934021059005E-5</v>
      </c>
      <c r="T71" s="11">
        <f t="shared" ref="T71:T73" si="47">R71-Q$70*S71</f>
        <v>1.3435946932323108</v>
      </c>
      <c r="U71" s="8"/>
      <c r="V71" s="8"/>
    </row>
    <row r="72" spans="1:22">
      <c r="A72" s="4" t="s">
        <v>7</v>
      </c>
      <c r="B72" s="12">
        <v>1.389248</v>
      </c>
      <c r="C72" s="12">
        <v>6521.2179999999998</v>
      </c>
      <c r="D72" s="12">
        <v>-611066100</v>
      </c>
      <c r="E72" s="12">
        <v>59081910000000</v>
      </c>
      <c r="F72" s="8">
        <f t="shared" si="41"/>
        <v>1.3977892126375417</v>
      </c>
      <c r="G72" s="12">
        <f t="shared" si="42"/>
        <v>-1.8483777598247059E-5</v>
      </c>
      <c r="H72" s="8"/>
      <c r="I72" s="8">
        <f>ROUND((1.386*(0.546 + 0.635) + 1.406*(2.419))/(0.546 + 2.419 + 0.635),4)</f>
        <v>1.3994</v>
      </c>
      <c r="J72" s="8"/>
      <c r="K72" s="8">
        <f t="shared" si="43"/>
        <v>1.401011281893453</v>
      </c>
      <c r="L72" s="8">
        <f t="shared" si="44"/>
        <v>1.4060002231190278</v>
      </c>
      <c r="M72" s="8"/>
      <c r="N72" s="8"/>
      <c r="O72" s="8"/>
      <c r="P72" s="9" t="s">
        <v>7</v>
      </c>
      <c r="Q72" s="8"/>
      <c r="R72" s="8">
        <f t="shared" si="45"/>
        <v>1.3928294067193596</v>
      </c>
      <c r="S72" s="12">
        <f t="shared" si="46"/>
        <v>-1.8418191207471326E-5</v>
      </c>
      <c r="T72" s="11">
        <f t="shared" si="47"/>
        <v>1.4079323235094861</v>
      </c>
      <c r="U72" s="8"/>
      <c r="V72" s="8"/>
    </row>
    <row r="73" spans="1:22">
      <c r="A73" s="4" t="s">
        <v>6</v>
      </c>
      <c r="B73" s="12">
        <v>1.322357</v>
      </c>
      <c r="C73" s="12">
        <v>5560.24</v>
      </c>
      <c r="D73" s="12">
        <v>-581739100</v>
      </c>
      <c r="E73" s="12">
        <v>50368100000000</v>
      </c>
      <c r="F73" s="8">
        <f t="shared" si="41"/>
        <v>1.329505238602144</v>
      </c>
      <c r="G73" s="12">
        <f t="shared" si="42"/>
        <v>-1.510466734266615E-5</v>
      </c>
      <c r="H73" s="8"/>
      <c r="I73" s="8">
        <v>1.3360000000000001</v>
      </c>
      <c r="J73" s="8"/>
      <c r="K73" s="8">
        <f t="shared" si="43"/>
        <v>1.3372443533453502</v>
      </c>
      <c r="L73" s="8">
        <f t="shared" si="44"/>
        <v>1.3360003550063808</v>
      </c>
      <c r="M73" s="8"/>
      <c r="N73" s="8"/>
      <c r="O73" s="8"/>
      <c r="P73" s="9" t="s">
        <v>6</v>
      </c>
      <c r="Q73" s="8"/>
      <c r="R73" s="8">
        <f t="shared" si="45"/>
        <v>1.3307431891028862</v>
      </c>
      <c r="S73" s="12">
        <f t="shared" si="46"/>
        <v>-1.5118731845729004E-5</v>
      </c>
      <c r="T73" s="11">
        <f t="shared" si="47"/>
        <v>1.3431405492163839</v>
      </c>
      <c r="U73" s="8"/>
      <c r="V73" s="8"/>
    </row>
    <row r="74" spans="1:22" ht="16.5">
      <c r="A74" s="4"/>
      <c r="B74" s="8" t="s">
        <v>63</v>
      </c>
      <c r="C74" s="12"/>
      <c r="D74" s="12"/>
      <c r="E74" s="12"/>
      <c r="F74" s="8"/>
      <c r="G74" s="12"/>
      <c r="H74" s="8"/>
      <c r="I74" s="8"/>
      <c r="J74" s="8"/>
      <c r="K74" s="8" t="s">
        <v>65</v>
      </c>
      <c r="L74" s="8"/>
      <c r="M74" s="8"/>
      <c r="N74" s="8"/>
      <c r="O74" s="8"/>
      <c r="P74" s="9"/>
      <c r="Q74" s="8"/>
      <c r="R74" s="8"/>
      <c r="S74" s="12"/>
      <c r="T74" s="11"/>
      <c r="U74" s="8"/>
      <c r="V74" s="8"/>
    </row>
    <row r="75" spans="1:22">
      <c r="B75" s="8"/>
      <c r="C75" s="8"/>
      <c r="D75" s="8"/>
      <c r="E75" s="8"/>
      <c r="F75" s="8"/>
      <c r="G75" s="8"/>
      <c r="H75" s="8"/>
      <c r="I75" s="8"/>
      <c r="J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27.5">
      <c r="A76" s="5" t="s">
        <v>40</v>
      </c>
      <c r="B76" s="10" t="s">
        <v>0</v>
      </c>
      <c r="C76" s="10" t="s">
        <v>1</v>
      </c>
      <c r="D76" s="10" t="s">
        <v>2</v>
      </c>
      <c r="E76" s="10" t="s">
        <v>3</v>
      </c>
      <c r="F76" s="10" t="s">
        <v>69</v>
      </c>
      <c r="G76" s="10" t="s">
        <v>70</v>
      </c>
      <c r="H76" s="10" t="s">
        <v>49</v>
      </c>
      <c r="I76" s="10" t="s">
        <v>60</v>
      </c>
      <c r="J76" s="10" t="s">
        <v>54</v>
      </c>
      <c r="K76" s="10"/>
      <c r="L76" s="10"/>
      <c r="M76" s="10"/>
      <c r="N76" s="10"/>
      <c r="O76" s="8"/>
      <c r="P76" s="8"/>
      <c r="Q76" s="10" t="s">
        <v>8</v>
      </c>
      <c r="R76" s="10" t="s">
        <v>13</v>
      </c>
      <c r="S76" s="10" t="s">
        <v>48</v>
      </c>
      <c r="T76" s="10" t="s">
        <v>12</v>
      </c>
      <c r="U76" s="8"/>
      <c r="V76" s="8"/>
    </row>
    <row r="77" spans="1:22">
      <c r="A77" s="4" t="s">
        <v>4</v>
      </c>
      <c r="B77" s="12">
        <v>1.361594</v>
      </c>
      <c r="C77" s="12">
        <v>6009.6869999999999</v>
      </c>
      <c r="D77" s="12">
        <v>-676076000</v>
      </c>
      <c r="E77" s="12">
        <v>59084500000000</v>
      </c>
      <c r="F77" s="8">
        <f>B77 + C77/Q$77^2 + D77/Q$77^4 + E77/Q$77^6</f>
        <v>1.3692306786630519</v>
      </c>
      <c r="G77" s="12">
        <f>-2*C77/Q$77^3 - 4*D77/Q$77^5 - 6*E77/Q$77^7</f>
        <v>-1.5926935125167293E-5</v>
      </c>
      <c r="H77" s="8">
        <v>555</v>
      </c>
      <c r="I77" s="8">
        <v>1.3771</v>
      </c>
      <c r="J77" s="8">
        <f>B77 + C77/H$77^2 + D77/H$77^4 + E77/H$77^6</f>
        <v>1.3760004470453966</v>
      </c>
      <c r="K77" s="8"/>
      <c r="L77" s="8"/>
      <c r="M77" s="8"/>
      <c r="N77" s="8"/>
      <c r="O77" s="8"/>
      <c r="P77" s="9" t="s">
        <v>4</v>
      </c>
      <c r="Q77" s="8">
        <f>$A$2</f>
        <v>820</v>
      </c>
      <c r="R77" s="8">
        <f>F77*$I77/$J77</f>
        <v>1.370324821940033</v>
      </c>
      <c r="S77" s="12">
        <f>$I77/$J77*G77</f>
        <v>-1.5939662234822133E-5</v>
      </c>
      <c r="T77" s="11">
        <f>R77-Q$77*S77</f>
        <v>1.3833953449725871</v>
      </c>
      <c r="U77" s="8"/>
      <c r="V77" s="8"/>
    </row>
    <row r="78" spans="1:22">
      <c r="A78" s="4" t="s">
        <v>5</v>
      </c>
      <c r="B78" s="12">
        <v>1.321631</v>
      </c>
      <c r="C78" s="12">
        <v>6070.7960000000003</v>
      </c>
      <c r="D78" s="12">
        <v>-706230500</v>
      </c>
      <c r="E78" s="12">
        <v>61478610000000</v>
      </c>
      <c r="F78" s="8">
        <f t="shared" ref="F78:F80" si="48">B78 + C78/Q$77^2 + D78/Q$77^4 + E78/Q$77^6</f>
        <v>1.3292997402384978</v>
      </c>
      <c r="G78" s="12">
        <f t="shared" ref="G78:G80" si="49">-2*C78/Q$77^3 - 4*D78/Q$77^5 - 6*E78/Q$77^7</f>
        <v>-1.5880877623660394E-5</v>
      </c>
      <c r="H78" s="8"/>
      <c r="I78" s="8">
        <v>1.3373999999999999</v>
      </c>
      <c r="J78" s="8">
        <f t="shared" ref="J78:J80" si="50">B78 + C78/H$77^2 + D78/H$77^4 + E78/H$77^6</f>
        <v>1.3359999368301452</v>
      </c>
      <c r="K78" s="8"/>
      <c r="L78" s="8"/>
      <c r="M78" s="8"/>
      <c r="N78" s="8"/>
      <c r="O78" s="8"/>
      <c r="P78" s="9" t="s">
        <v>5</v>
      </c>
      <c r="Q78" s="8"/>
      <c r="R78" s="8">
        <f t="shared" ref="R78:R80" si="51">F78*$I78/$J78</f>
        <v>1.3306927819271235</v>
      </c>
      <c r="S78" s="12">
        <f>$I78/$J78*G78</f>
        <v>-1.5897520013568444E-5</v>
      </c>
      <c r="T78" s="11">
        <f t="shared" ref="T78:T80" si="52">R78-Q$77*S78</f>
        <v>1.3437287483382496</v>
      </c>
      <c r="U78" s="8"/>
      <c r="V78" s="8"/>
    </row>
    <row r="79" spans="1:22">
      <c r="A79" s="4" t="s">
        <v>7</v>
      </c>
      <c r="B79" s="12">
        <v>1.389248</v>
      </c>
      <c r="C79" s="12">
        <v>6521.2179999999998</v>
      </c>
      <c r="D79" s="12">
        <v>-611066100</v>
      </c>
      <c r="E79" s="12">
        <v>59081910000000</v>
      </c>
      <c r="F79" s="8">
        <f t="shared" si="48"/>
        <v>1.3977892126375417</v>
      </c>
      <c r="G79" s="12">
        <f t="shared" si="49"/>
        <v>-1.8483777598247059E-5</v>
      </c>
      <c r="H79" s="8"/>
      <c r="I79" s="8">
        <v>1.42</v>
      </c>
      <c r="J79" s="8">
        <f t="shared" si="50"/>
        <v>1.4060002231190278</v>
      </c>
      <c r="K79" s="8"/>
      <c r="L79" s="8"/>
      <c r="M79" s="8"/>
      <c r="N79" s="8"/>
      <c r="O79" s="8"/>
      <c r="P79" s="9" t="s">
        <v>7</v>
      </c>
      <c r="Q79" s="8"/>
      <c r="R79" s="8">
        <f t="shared" si="51"/>
        <v>1.411707231128424</v>
      </c>
      <c r="S79" s="12">
        <f>$I79/$J79*G79</f>
        <v>-1.866782363041548E-5</v>
      </c>
      <c r="T79" s="11">
        <f t="shared" si="52"/>
        <v>1.4270148465053647</v>
      </c>
      <c r="U79" s="8"/>
      <c r="V79" s="8"/>
    </row>
    <row r="80" spans="1:22">
      <c r="A80" s="4" t="s">
        <v>6</v>
      </c>
      <c r="B80" s="12">
        <v>1.322357</v>
      </c>
      <c r="C80" s="12">
        <v>5560.24</v>
      </c>
      <c r="D80" s="12">
        <v>-581739100</v>
      </c>
      <c r="E80" s="12">
        <v>50368100000000</v>
      </c>
      <c r="F80" s="8">
        <f t="shared" si="48"/>
        <v>1.329505238602144</v>
      </c>
      <c r="G80" s="12">
        <f t="shared" si="49"/>
        <v>-1.510466734266615E-5</v>
      </c>
      <c r="H80" s="8"/>
      <c r="I80" s="8">
        <v>1.3360000000000001</v>
      </c>
      <c r="J80" s="8">
        <f t="shared" si="50"/>
        <v>1.3360003550063808</v>
      </c>
      <c r="K80" s="8"/>
      <c r="L80" s="8"/>
      <c r="M80" s="8"/>
      <c r="N80" s="8"/>
      <c r="O80" s="8"/>
      <c r="P80" s="9" t="s">
        <v>6</v>
      </c>
      <c r="Q80" s="8"/>
      <c r="R80" s="8">
        <f t="shared" si="51"/>
        <v>1.3295048853216667</v>
      </c>
      <c r="S80" s="12">
        <f>$I80/$J80*G80</f>
        <v>-1.5104663329004578E-5</v>
      </c>
      <c r="T80" s="11">
        <f t="shared" si="52"/>
        <v>1.3418907092514505</v>
      </c>
      <c r="U80" s="8"/>
      <c r="V80" s="8"/>
    </row>
    <row r="81" spans="1:22" ht="16.5">
      <c r="B81" s="8" t="s">
        <v>62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27.5">
      <c r="A83" s="5" t="s">
        <v>36</v>
      </c>
      <c r="B83" s="10" t="s">
        <v>0</v>
      </c>
      <c r="C83" s="10" t="s">
        <v>1</v>
      </c>
      <c r="D83" s="10" t="s">
        <v>2</v>
      </c>
      <c r="E83" s="10" t="s">
        <v>3</v>
      </c>
      <c r="F83" s="10" t="s">
        <v>69</v>
      </c>
      <c r="G83" s="10" t="s">
        <v>70</v>
      </c>
      <c r="H83" s="10" t="s">
        <v>30</v>
      </c>
      <c r="I83" s="10" t="s">
        <v>59</v>
      </c>
      <c r="J83" s="10" t="s">
        <v>49</v>
      </c>
      <c r="K83" s="10" t="s">
        <v>59</v>
      </c>
      <c r="L83" s="10" t="s">
        <v>61</v>
      </c>
      <c r="M83" s="10" t="s">
        <v>60</v>
      </c>
      <c r="N83" s="10" t="s">
        <v>54</v>
      </c>
      <c r="O83" s="8"/>
      <c r="P83" s="8"/>
      <c r="Q83" s="10" t="s">
        <v>8</v>
      </c>
      <c r="R83" s="10" t="s">
        <v>13</v>
      </c>
      <c r="S83" s="10" t="s">
        <v>48</v>
      </c>
      <c r="T83" s="10" t="s">
        <v>12</v>
      </c>
      <c r="U83" s="8"/>
      <c r="V83" s="8"/>
    </row>
    <row r="84" spans="1:22">
      <c r="A84" s="4" t="s">
        <v>4</v>
      </c>
      <c r="B84" s="12">
        <v>1.361594</v>
      </c>
      <c r="C84" s="12">
        <v>6009.6869999999999</v>
      </c>
      <c r="D84" s="12">
        <v>-676076000</v>
      </c>
      <c r="E84" s="12">
        <v>59084500000000</v>
      </c>
      <c r="F84" s="8">
        <f>B84 + C84/Q$84^2 + D84/Q$84^4 + E84/Q$84^6</f>
        <v>1.3692306786630519</v>
      </c>
      <c r="G84" s="12">
        <f>-2*C84/Q$84^3 - 4*D84/Q$84^5 - 6*E84/Q$84^7</f>
        <v>-1.5926935125167293E-5</v>
      </c>
      <c r="H84" s="8">
        <v>555</v>
      </c>
      <c r="I84" s="8">
        <v>1.3759999999999999</v>
      </c>
      <c r="J84" s="8">
        <v>589</v>
      </c>
      <c r="K84" s="8">
        <f>(B84 + C84/H$84^2 + D84/H$84^4 + E84/H$84^6)*I84/(B84 + C84/J$84^2 + D84/J$84^4 + E84/J$84^6)</f>
        <v>1.3772870270859552</v>
      </c>
      <c r="L84" s="8">
        <v>1.3771</v>
      </c>
      <c r="M84" s="8">
        <f>L84*K84/I84</f>
        <v>1.3783880559593524</v>
      </c>
      <c r="N84" s="8">
        <f>B84 + C84/H$84^2 + D84/H$84^4 + E84/H$84^6</f>
        <v>1.3760004470453966</v>
      </c>
      <c r="O84" s="8"/>
      <c r="P84" s="9" t="s">
        <v>4</v>
      </c>
      <c r="Q84" s="8">
        <f>$A$2</f>
        <v>820</v>
      </c>
      <c r="R84" s="8">
        <f>F84*$M84/$N84</f>
        <v>1.3716065408080516</v>
      </c>
      <c r="S84" s="12">
        <f>$M84/$N84*G84</f>
        <v>-1.5954571229761955E-5</v>
      </c>
      <c r="T84" s="11">
        <f>R84-Q$84*S84</f>
        <v>1.3846892892164564</v>
      </c>
      <c r="U84" s="8"/>
      <c r="V84" s="8"/>
    </row>
    <row r="85" spans="1:22">
      <c r="A85" s="4" t="s">
        <v>5</v>
      </c>
      <c r="B85" s="12">
        <v>1.321631</v>
      </c>
      <c r="C85" s="12">
        <v>6070.7960000000003</v>
      </c>
      <c r="D85" s="12">
        <v>-706230500</v>
      </c>
      <c r="E85" s="12">
        <v>61478610000000</v>
      </c>
      <c r="F85" s="8">
        <f t="shared" ref="F85:F87" si="53">B85 + C85/Q$84^2 + D85/Q$84^4 + E85/Q$84^6</f>
        <v>1.3292997402384978</v>
      </c>
      <c r="G85" s="12">
        <f t="shared" ref="G85:G87" si="54">-2*C85/Q$84^3 - 4*D85/Q$84^5 - 6*E85/Q$84^7</f>
        <v>-1.5880877623660394E-5</v>
      </c>
      <c r="H85" s="8"/>
      <c r="I85" s="8">
        <v>1.3360000000000001</v>
      </c>
      <c r="J85" s="8"/>
      <c r="K85" s="8">
        <f t="shared" ref="K85:K87" si="55">(B85 + C85/H$84^2 + D85/H$84^4 + E85/H$84^6)*I85/(B85 + C85/J$84^2 + D85/J$84^4 + E85/J$84^6)</f>
        <v>1.3372665762722542</v>
      </c>
      <c r="L85" s="8">
        <v>1.3373999999999999</v>
      </c>
      <c r="M85" s="8">
        <f t="shared" ref="M85:M87" si="56">L85*K85/I85</f>
        <v>1.3386679035228388</v>
      </c>
      <c r="N85" s="8">
        <f t="shared" ref="N85:N87" si="57">B85 + C85/H$84^2 + D85/H$84^4 + E85/H$84^6</f>
        <v>1.3359999368301452</v>
      </c>
      <c r="O85" s="8"/>
      <c r="P85" s="9" t="s">
        <v>5</v>
      </c>
      <c r="Q85" s="8"/>
      <c r="R85" s="8">
        <f t="shared" ref="R85:R87" si="58">F85*$M85/$N85</f>
        <v>1.3319543267648843</v>
      </c>
      <c r="S85" s="12">
        <f t="shared" ref="S85:S87" si="59">$M85/$N85*G85</f>
        <v>-1.5912591436949335E-5</v>
      </c>
      <c r="T85" s="11">
        <f t="shared" ref="T85:T87" si="60">R85-Q$84*S85</f>
        <v>1.3450026517431828</v>
      </c>
      <c r="U85" s="8"/>
      <c r="V85" s="8"/>
    </row>
    <row r="86" spans="1:22">
      <c r="A86" s="4" t="s">
        <v>7</v>
      </c>
      <c r="B86" s="12">
        <v>1.389248</v>
      </c>
      <c r="C86" s="12">
        <v>6521.2179999999998</v>
      </c>
      <c r="D86" s="12">
        <v>-611066100</v>
      </c>
      <c r="E86" s="12">
        <v>59081910000000</v>
      </c>
      <c r="F86" s="8">
        <f t="shared" si="53"/>
        <v>1.3977892126375417</v>
      </c>
      <c r="G86" s="12">
        <f t="shared" si="54"/>
        <v>-1.8483777598247059E-5</v>
      </c>
      <c r="H86" s="8"/>
      <c r="I86" s="8">
        <v>1.3994</v>
      </c>
      <c r="J86" s="8"/>
      <c r="K86" s="8">
        <f t="shared" si="55"/>
        <v>1.401011281893453</v>
      </c>
      <c r="L86" s="8">
        <v>1.42</v>
      </c>
      <c r="M86" s="8">
        <f t="shared" si="56"/>
        <v>1.4216350009208969</v>
      </c>
      <c r="N86" s="8">
        <f t="shared" si="57"/>
        <v>1.4060002231190278</v>
      </c>
      <c r="O86" s="8"/>
      <c r="P86" s="9" t="s">
        <v>7</v>
      </c>
      <c r="Q86" s="8"/>
      <c r="R86" s="8">
        <f t="shared" si="58"/>
        <v>1.4133326836797846</v>
      </c>
      <c r="S86" s="12">
        <f t="shared" si="59"/>
        <v>-1.8689317932406232E-5</v>
      </c>
      <c r="T86" s="11">
        <f t="shared" si="60"/>
        <v>1.4286579243843578</v>
      </c>
      <c r="U86" s="8"/>
      <c r="V86" s="8"/>
    </row>
    <row r="87" spans="1:22">
      <c r="A87" s="4" t="s">
        <v>6</v>
      </c>
      <c r="B87" s="12">
        <v>1.322357</v>
      </c>
      <c r="C87" s="12">
        <v>5560.24</v>
      </c>
      <c r="D87" s="12">
        <v>-581739100</v>
      </c>
      <c r="E87" s="12">
        <v>50368100000000</v>
      </c>
      <c r="F87" s="8">
        <f t="shared" si="53"/>
        <v>1.329505238602144</v>
      </c>
      <c r="G87" s="12">
        <f t="shared" si="54"/>
        <v>-1.510466734266615E-5</v>
      </c>
      <c r="H87" s="8"/>
      <c r="I87" s="8">
        <v>1.3360000000000001</v>
      </c>
      <c r="J87" s="8"/>
      <c r="K87" s="8">
        <f t="shared" si="55"/>
        <v>1.3372443533453502</v>
      </c>
      <c r="L87" s="8">
        <v>1.3360000000000001</v>
      </c>
      <c r="M87" s="8">
        <f t="shared" si="56"/>
        <v>1.3372443533453502</v>
      </c>
      <c r="N87" s="8">
        <f t="shared" si="57"/>
        <v>1.3360003550063808</v>
      </c>
      <c r="O87" s="8"/>
      <c r="P87" s="9" t="s">
        <v>6</v>
      </c>
      <c r="Q87" s="8"/>
      <c r="R87" s="8">
        <f t="shared" si="58"/>
        <v>1.3307431891028862</v>
      </c>
      <c r="S87" s="12">
        <f t="shared" si="59"/>
        <v>-1.5118731845729002E-5</v>
      </c>
      <c r="T87" s="11">
        <f t="shared" si="60"/>
        <v>1.3431405492163839</v>
      </c>
      <c r="U87" s="8"/>
      <c r="V87" s="8"/>
    </row>
    <row r="88" spans="1:22" ht="16.5">
      <c r="B88" s="8" t="s">
        <v>64</v>
      </c>
      <c r="C88" s="8"/>
      <c r="D88" s="8"/>
      <c r="E88" s="8"/>
      <c r="F88" s="8"/>
      <c r="G88" s="8"/>
      <c r="H88" s="8"/>
      <c r="I88" s="8"/>
      <c r="J88" s="8"/>
      <c r="K88" s="8" t="s">
        <v>65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27.5">
      <c r="A90" s="5" t="s">
        <v>32</v>
      </c>
      <c r="B90" s="10" t="s">
        <v>10</v>
      </c>
      <c r="C90" s="10" t="s">
        <v>11</v>
      </c>
      <c r="D90" s="10" t="s">
        <v>14</v>
      </c>
      <c r="E90" s="8"/>
      <c r="F90" s="10"/>
      <c r="G90" s="10"/>
      <c r="H90" s="10"/>
      <c r="I90" s="10"/>
      <c r="J90" s="10"/>
      <c r="K90" s="10"/>
      <c r="L90" s="10"/>
      <c r="M90" s="10"/>
      <c r="N90" s="10"/>
      <c r="O90" s="8"/>
      <c r="P90" s="8"/>
      <c r="Q90" s="10" t="s">
        <v>8</v>
      </c>
      <c r="R90" s="10" t="s">
        <v>13</v>
      </c>
      <c r="S90" s="10"/>
      <c r="T90" s="10" t="s">
        <v>12</v>
      </c>
      <c r="U90" s="8"/>
      <c r="V90" s="13"/>
    </row>
    <row r="91" spans="1:22">
      <c r="A91" s="4" t="s">
        <v>4</v>
      </c>
      <c r="B91" s="8">
        <v>1.3217000000000001</v>
      </c>
      <c r="C91" s="8">
        <v>7.4146999999999998</v>
      </c>
      <c r="D91" s="8">
        <v>130</v>
      </c>
      <c r="E91" s="8"/>
      <c r="G91" s="8"/>
      <c r="H91" s="8"/>
      <c r="I91" s="8"/>
      <c r="J91" s="8"/>
      <c r="K91" s="8"/>
      <c r="L91" s="8"/>
      <c r="M91" s="8"/>
      <c r="N91" s="8">
        <f>B91/(1-C91*Q91/(B91*(Q91-D91)^2))</f>
        <v>1.3345951352768093</v>
      </c>
      <c r="O91" s="8"/>
      <c r="P91" s="9" t="s">
        <v>4</v>
      </c>
      <c r="Q91" s="8">
        <f t="shared" ref="Q91" si="61">$A$2</f>
        <v>820</v>
      </c>
      <c r="R91" s="11">
        <f>B91 + C91/(Q$91 - D91)</f>
        <v>1.3324459420289856</v>
      </c>
      <c r="S91" s="12"/>
      <c r="T91" s="11">
        <f>R91/(1 - C91/R91*Q$91/(Q$91 - D91)^2)</f>
        <v>1.345340062741349</v>
      </c>
      <c r="U91" s="8"/>
      <c r="V91" s="13"/>
    </row>
    <row r="92" spans="1:22">
      <c r="A92" s="4" t="s">
        <v>5</v>
      </c>
      <c r="B92" s="17">
        <v>1.3221000000000001</v>
      </c>
      <c r="C92" s="17">
        <v>7.0095999999999998</v>
      </c>
      <c r="D92" s="8">
        <v>130</v>
      </c>
      <c r="E92" s="8"/>
      <c r="G92" s="8"/>
      <c r="H92" s="8"/>
      <c r="I92" s="8"/>
      <c r="J92" s="8"/>
      <c r="K92" s="8"/>
      <c r="L92" s="8"/>
      <c r="M92" s="8"/>
      <c r="O92" s="8"/>
      <c r="P92" s="9" t="s">
        <v>5</v>
      </c>
      <c r="R92" s="11">
        <f t="shared" ref="R92:R94" si="62">B92 + C92/(Q$91 - D92)</f>
        <v>1.3322588405797102</v>
      </c>
      <c r="S92" s="12"/>
      <c r="T92" s="11">
        <f t="shared" ref="T92:T94" si="63">R92/(1 - C92/R92*Q$91/(Q$91 - D92)^2)</f>
        <v>1.3444420690767767</v>
      </c>
      <c r="U92" s="8"/>
      <c r="V92" s="13"/>
    </row>
    <row r="93" spans="1:22">
      <c r="A93" s="4" t="s">
        <v>7</v>
      </c>
      <c r="B93" s="17">
        <v>1.3898999999999999</v>
      </c>
      <c r="C93" s="17">
        <v>9.2492000000000001</v>
      </c>
      <c r="D93" s="8">
        <v>130</v>
      </c>
      <c r="E93" s="8"/>
      <c r="G93" s="8"/>
      <c r="H93" s="8"/>
      <c r="I93" s="8"/>
      <c r="J93" s="8"/>
      <c r="K93" s="8"/>
      <c r="L93" s="8"/>
      <c r="M93" s="8"/>
      <c r="N93" s="8"/>
      <c r="O93" s="8"/>
      <c r="P93" s="9" t="s">
        <v>7</v>
      </c>
      <c r="R93" s="11">
        <f t="shared" si="62"/>
        <v>1.4033046376811593</v>
      </c>
      <c r="S93" s="12"/>
      <c r="T93" s="11">
        <f t="shared" si="63"/>
        <v>1.4194177004015662</v>
      </c>
      <c r="U93" s="8"/>
      <c r="V93" s="13"/>
    </row>
    <row r="94" spans="1:22">
      <c r="A94" s="4" t="s">
        <v>6</v>
      </c>
      <c r="B94" s="17">
        <v>1.3208</v>
      </c>
      <c r="C94" s="17">
        <v>6.9805999999999999</v>
      </c>
      <c r="D94" s="8">
        <v>130</v>
      </c>
      <c r="E94" s="8"/>
      <c r="G94" s="8"/>
      <c r="H94" s="8"/>
      <c r="I94" s="8"/>
      <c r="J94" s="8"/>
      <c r="K94" s="8"/>
      <c r="L94" s="8"/>
      <c r="M94" s="8"/>
      <c r="N94" s="8"/>
      <c r="O94" s="8"/>
      <c r="P94" s="9" t="s">
        <v>6</v>
      </c>
      <c r="R94" s="11">
        <f t="shared" si="62"/>
        <v>1.3309168115942029</v>
      </c>
      <c r="S94" s="12"/>
      <c r="T94" s="11">
        <f t="shared" si="63"/>
        <v>1.3430492882381593</v>
      </c>
      <c r="U94" s="8"/>
      <c r="V94" s="8"/>
    </row>
    <row r="95" spans="1:2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27.5">
      <c r="A97" s="5" t="s">
        <v>35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 t="s">
        <v>8</v>
      </c>
      <c r="R97" s="10"/>
      <c r="S97" s="10"/>
      <c r="T97" s="10" t="s">
        <v>12</v>
      </c>
      <c r="U97" s="8"/>
      <c r="V97" s="8"/>
    </row>
    <row r="98" spans="1:22">
      <c r="A98" s="4" t="s">
        <v>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" t="s">
        <v>4</v>
      </c>
      <c r="Q98" s="8">
        <f>$A$2</f>
        <v>820</v>
      </c>
      <c r="R98" s="8"/>
      <c r="S98" s="12"/>
      <c r="T98" s="14">
        <v>1.375</v>
      </c>
      <c r="U98" s="8"/>
      <c r="V98" s="8"/>
    </row>
    <row r="99" spans="1:22">
      <c r="A99" s="4" t="s">
        <v>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 t="s">
        <v>5</v>
      </c>
      <c r="R99" s="8"/>
      <c r="S99" s="12"/>
      <c r="T99" s="14">
        <v>1.3360000000000001</v>
      </c>
      <c r="U99" s="8"/>
      <c r="V99" s="8"/>
    </row>
    <row r="100" spans="1:22">
      <c r="A100" s="4" t="s">
        <v>7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 t="s">
        <v>7</v>
      </c>
      <c r="R100" s="8"/>
      <c r="S100" s="12"/>
      <c r="T100" s="14">
        <v>1.41</v>
      </c>
      <c r="U100" s="8"/>
      <c r="V100" s="8"/>
    </row>
    <row r="101" spans="1:22">
      <c r="A101" s="4" t="s">
        <v>6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 t="s">
        <v>6</v>
      </c>
      <c r="R101" s="8"/>
      <c r="S101" s="12"/>
      <c r="T101" s="14">
        <v>1.3360000000000001</v>
      </c>
      <c r="U101" s="8"/>
      <c r="V101" s="8"/>
    </row>
    <row r="102" spans="1:22">
      <c r="B102" s="8" t="s">
        <v>66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27.5">
      <c r="A104" s="5" t="s">
        <v>37</v>
      </c>
      <c r="B104" s="10" t="s">
        <v>31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 t="s">
        <v>8</v>
      </c>
      <c r="R104" s="10" t="s">
        <v>13</v>
      </c>
      <c r="S104" s="10" t="s">
        <v>48</v>
      </c>
      <c r="T104" s="10" t="s">
        <v>12</v>
      </c>
      <c r="U104" s="8"/>
      <c r="V104" s="8"/>
    </row>
    <row r="105" spans="1:22">
      <c r="A105" s="4" t="s">
        <v>4</v>
      </c>
      <c r="B105" s="8">
        <v>1.3759999999999999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 t="s">
        <v>4</v>
      </c>
      <c r="Q105" s="8">
        <f>$A$2</f>
        <v>820</v>
      </c>
      <c r="R105" s="15">
        <f>B105+0.0512-0.1455*Q$105/10^3+0.0961*Q$105^2/10^6</f>
        <v>1.3725076399999998</v>
      </c>
      <c r="S105" s="8">
        <f>-0.1455/10^3+0.1922*Q$105/10^6</f>
        <v>1.2104000000000032E-5</v>
      </c>
      <c r="T105" s="11">
        <f>R105-Q$105*S$105</f>
        <v>1.3625823599999998</v>
      </c>
      <c r="U105" s="8"/>
      <c r="V105" s="8"/>
    </row>
    <row r="106" spans="1:22">
      <c r="A106" s="4" t="s">
        <v>5</v>
      </c>
      <c r="B106" s="8">
        <v>1.3360000000000001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9" t="s">
        <v>5</v>
      </c>
      <c r="R106" s="15">
        <f t="shared" ref="R106:R108" si="64">B106+0.0512-0.1455*Q$105/10^3+0.0961*Q$105^2/10^6</f>
        <v>1.33250764</v>
      </c>
      <c r="T106" s="11">
        <f t="shared" ref="T106:T108" si="65">R106-Q$105*S$105</f>
        <v>1.32258236</v>
      </c>
      <c r="U106" s="8"/>
      <c r="V106" s="8"/>
    </row>
    <row r="107" spans="1:22">
      <c r="A107" s="4" t="s">
        <v>7</v>
      </c>
      <c r="B107" s="8">
        <v>1.3939999999999999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 t="s">
        <v>7</v>
      </c>
      <c r="R107" s="15">
        <f t="shared" si="64"/>
        <v>1.3905076399999998</v>
      </c>
      <c r="T107" s="11">
        <f t="shared" si="65"/>
        <v>1.3805823599999998</v>
      </c>
      <c r="U107" s="8"/>
      <c r="V107" s="8"/>
    </row>
    <row r="108" spans="1:22">
      <c r="A108" s="4" t="s">
        <v>6</v>
      </c>
      <c r="B108" s="8">
        <v>1.3360000000000001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 t="s">
        <v>6</v>
      </c>
      <c r="R108" s="15">
        <f t="shared" si="64"/>
        <v>1.33250764</v>
      </c>
      <c r="T108" s="11">
        <f t="shared" si="65"/>
        <v>1.32258236</v>
      </c>
      <c r="U108" s="8"/>
      <c r="V108" s="8"/>
    </row>
    <row r="109" spans="1:2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2:20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2:20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2:20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2:20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2:20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2:20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2:20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2:20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2:20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2:20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2:20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2:20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2:20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2:20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Cooke</dc:creator>
  <cp:lastModifiedBy>David L</cp:lastModifiedBy>
  <cp:lastPrinted>2019-07-02T02:33:16Z</cp:lastPrinted>
  <dcterms:created xsi:type="dcterms:W3CDTF">2019-07-02T01:58:55Z</dcterms:created>
  <dcterms:modified xsi:type="dcterms:W3CDTF">2020-01-09T22:38:36Z</dcterms:modified>
</cp:coreProperties>
</file>